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14820" windowWidth="19200" windowHeight="10845"/>
  </bookViews>
  <sheets>
    <sheet name="Press Release" sheetId="1" r:id="rId1"/>
    <sheet name="Sheet1" sheetId="2" r:id="rId2"/>
  </sheets>
  <definedNames>
    <definedName name="EV__LASTREFTIME__" hidden="1">39017.4788425926</definedName>
    <definedName name="_xlnm.Print_Area" localSheetId="0">'Press Release'!$A$1:$J$213</definedName>
  </definedNames>
  <calcPr calcId="152511"/>
</workbook>
</file>

<file path=xl/calcChain.xml><?xml version="1.0" encoding="utf-8"?>
<calcChain xmlns="http://schemas.openxmlformats.org/spreadsheetml/2006/main">
  <c r="J213" i="1" l="1"/>
  <c r="I213" i="1"/>
  <c r="P213" i="1" l="1"/>
  <c r="C17" i="1"/>
  <c r="H213" i="1"/>
  <c r="G213" i="1"/>
  <c r="F213" i="1"/>
  <c r="E213" i="1"/>
  <c r="D213" i="1"/>
  <c r="C213" i="1"/>
  <c r="G148" i="1"/>
  <c r="E148" i="1"/>
  <c r="D146" i="1"/>
  <c r="C146" i="1"/>
  <c r="F148" i="1"/>
  <c r="P212" i="1" l="1"/>
  <c r="F160" i="1" l="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J160" i="1"/>
  <c r="J161" i="1" s="1"/>
  <c r="J162" i="1" s="1"/>
  <c r="J163" i="1" s="1"/>
  <c r="J164" i="1" s="1"/>
  <c r="J165" i="1" s="1"/>
  <c r="J166" i="1" s="1"/>
  <c r="J167" i="1" s="1"/>
  <c r="J168" i="1" s="1"/>
  <c r="J169" i="1" s="1"/>
  <c r="J170" i="1" s="1"/>
  <c r="J171" i="1" s="1"/>
  <c r="J172" i="1" s="1"/>
  <c r="J173" i="1" s="1"/>
  <c r="J174" i="1" s="1"/>
  <c r="J175" i="1" s="1"/>
  <c r="J176" i="1" s="1"/>
  <c r="J177" i="1" s="1"/>
  <c r="J178" i="1" s="1"/>
  <c r="J179" i="1" s="1"/>
  <c r="J180" i="1" s="1"/>
  <c r="J181" i="1" s="1"/>
  <c r="J182" i="1" s="1"/>
  <c r="D160" i="1"/>
  <c r="D161" i="1" s="1"/>
  <c r="D162" i="1" s="1"/>
  <c r="D163" i="1" s="1"/>
  <c r="D164" i="1" s="1"/>
  <c r="D165" i="1" s="1"/>
  <c r="D166" i="1" s="1"/>
  <c r="D167" i="1" s="1"/>
  <c r="D168" i="1" s="1"/>
  <c r="D169" i="1" s="1"/>
  <c r="D170" i="1" s="1"/>
  <c r="D171" i="1" s="1"/>
  <c r="D172" i="1" s="1"/>
  <c r="D173" i="1" s="1"/>
  <c r="D174" i="1" s="1"/>
  <c r="D175" i="1" s="1"/>
  <c r="D176" i="1" s="1"/>
  <c r="D177" i="1" s="1"/>
  <c r="D178" i="1" s="1"/>
  <c r="D179" i="1" s="1"/>
  <c r="D180" i="1" s="1"/>
  <c r="D181" i="1" s="1"/>
  <c r="D182" i="1" s="1"/>
  <c r="E160" i="1"/>
  <c r="E161" i="1" s="1"/>
  <c r="E162" i="1" s="1"/>
  <c r="E163" i="1" s="1"/>
  <c r="E164" i="1" s="1"/>
  <c r="E165" i="1" s="1"/>
  <c r="E166" i="1" s="1"/>
  <c r="E167" i="1" s="1"/>
  <c r="E168" i="1" s="1"/>
  <c r="E169" i="1" s="1"/>
  <c r="E170" i="1" s="1"/>
  <c r="E171" i="1" s="1"/>
  <c r="E172" i="1" s="1"/>
  <c r="E173" i="1" s="1"/>
  <c r="E174" i="1" s="1"/>
  <c r="E175" i="1" s="1"/>
  <c r="E176" i="1" s="1"/>
  <c r="E177" i="1" s="1"/>
  <c r="E178" i="1" s="1"/>
  <c r="E179" i="1" s="1"/>
  <c r="E180" i="1" s="1"/>
  <c r="E181" i="1" s="1"/>
  <c r="E182" i="1" s="1"/>
  <c r="C160" i="1"/>
  <c r="C161" i="1" s="1"/>
  <c r="C162" i="1" s="1"/>
  <c r="C163" i="1" s="1"/>
  <c r="C164" i="1" s="1"/>
  <c r="C165" i="1" s="1"/>
  <c r="C166" i="1" s="1"/>
  <c r="C167" i="1" s="1"/>
  <c r="C168" i="1" s="1"/>
  <c r="C169" i="1" s="1"/>
  <c r="C170" i="1" s="1"/>
  <c r="C171" i="1" s="1"/>
  <c r="C172" i="1" s="1"/>
  <c r="C173" i="1" s="1"/>
  <c r="C174" i="1" s="1"/>
  <c r="C175" i="1" s="1"/>
  <c r="C176" i="1" s="1"/>
  <c r="C177" i="1" s="1"/>
  <c r="C178" i="1" s="1"/>
  <c r="C179" i="1" s="1"/>
  <c r="C180" i="1" s="1"/>
  <c r="C181" i="1" s="1"/>
  <c r="C182" i="1" s="1"/>
  <c r="G160" i="1"/>
  <c r="G161" i="1" s="1"/>
  <c r="G162" i="1" s="1"/>
  <c r="G163" i="1" s="1"/>
  <c r="G164" i="1" s="1"/>
  <c r="G165" i="1" s="1"/>
  <c r="G166" i="1" s="1"/>
  <c r="G167" i="1" s="1"/>
  <c r="G168" i="1" s="1"/>
  <c r="G169" i="1" s="1"/>
  <c r="G170" i="1" s="1"/>
  <c r="G171" i="1" s="1"/>
  <c r="G172" i="1" s="1"/>
  <c r="G173" i="1" s="1"/>
  <c r="G174" i="1" s="1"/>
  <c r="G175" i="1" s="1"/>
  <c r="G176" i="1" s="1"/>
  <c r="G177" i="1" s="1"/>
  <c r="G178" i="1" s="1"/>
  <c r="G179" i="1" s="1"/>
  <c r="G180" i="1" s="1"/>
  <c r="G181" i="1" s="1"/>
  <c r="G182" i="1" s="1"/>
  <c r="I160" i="1"/>
  <c r="I161" i="1" s="1"/>
  <c r="I162" i="1" s="1"/>
  <c r="I163" i="1" s="1"/>
  <c r="I164" i="1" s="1"/>
  <c r="I165" i="1" s="1"/>
  <c r="I166" i="1" s="1"/>
  <c r="I167" i="1" s="1"/>
  <c r="I168" i="1" s="1"/>
  <c r="I169" i="1" s="1"/>
  <c r="I170" i="1" s="1"/>
  <c r="I171" i="1" s="1"/>
  <c r="I172" i="1" s="1"/>
  <c r="I173" i="1" s="1"/>
  <c r="I174" i="1" s="1"/>
  <c r="I175" i="1" s="1"/>
  <c r="I176" i="1" s="1"/>
  <c r="I177" i="1" s="1"/>
  <c r="I178" i="1" s="1"/>
  <c r="I179" i="1" s="1"/>
  <c r="I180" i="1" s="1"/>
  <c r="I181" i="1" s="1"/>
  <c r="I182" i="1" s="1"/>
  <c r="P159" i="1"/>
  <c r="P160" i="1"/>
  <c r="P161" i="1"/>
  <c r="P162" i="1"/>
  <c r="P163" i="1"/>
  <c r="P164" i="1"/>
  <c r="P165" i="1"/>
  <c r="P166" i="1"/>
  <c r="P167" i="1"/>
  <c r="P168" i="1"/>
  <c r="P169" i="1"/>
  <c r="P170" i="1"/>
  <c r="P171" i="1"/>
  <c r="P172" i="1"/>
  <c r="P173" i="1"/>
  <c r="P174" i="1"/>
  <c r="P175" i="1"/>
  <c r="P176" i="1"/>
  <c r="P177" i="1"/>
  <c r="P178" i="1"/>
  <c r="P179" i="1"/>
  <c r="P180" i="1"/>
  <c r="P181" i="1"/>
  <c r="P182" i="1"/>
  <c r="H160" i="1" l="1"/>
  <c r="M159" i="1"/>
  <c r="N159" i="1" s="1"/>
  <c r="M160" i="1" l="1"/>
  <c r="N160" i="1" s="1"/>
  <c r="H161" i="1"/>
  <c r="M161" i="1" l="1"/>
  <c r="N161" i="1" s="1"/>
  <c r="H162" i="1"/>
  <c r="M162" i="1" l="1"/>
  <c r="N162" i="1" s="1"/>
  <c r="H163" i="1"/>
  <c r="M163" i="1" l="1"/>
  <c r="N163" i="1" s="1"/>
  <c r="H164" i="1"/>
  <c r="M164" i="1" l="1"/>
  <c r="N164" i="1" s="1"/>
  <c r="H165" i="1"/>
  <c r="M165" i="1" l="1"/>
  <c r="N165" i="1" s="1"/>
  <c r="H166" i="1"/>
  <c r="M166" i="1" l="1"/>
  <c r="N166" i="1" s="1"/>
  <c r="H167" i="1"/>
  <c r="H168" i="1" l="1"/>
  <c r="M167" i="1"/>
  <c r="N167" i="1" s="1"/>
  <c r="M168" i="1" l="1"/>
  <c r="N168" i="1" s="1"/>
  <c r="H169" i="1"/>
  <c r="M169" i="1" l="1"/>
  <c r="N169" i="1" s="1"/>
  <c r="H170" i="1"/>
  <c r="M170" i="1" l="1"/>
  <c r="N170" i="1" s="1"/>
  <c r="H171" i="1"/>
  <c r="M171" i="1" l="1"/>
  <c r="N171" i="1" s="1"/>
  <c r="H172" i="1"/>
  <c r="M172" i="1" l="1"/>
  <c r="N172" i="1" s="1"/>
  <c r="H173" i="1"/>
  <c r="M173" i="1" l="1"/>
  <c r="N173" i="1" s="1"/>
  <c r="H174" i="1"/>
  <c r="M174" i="1" l="1"/>
  <c r="N174" i="1" s="1"/>
  <c r="H175" i="1"/>
  <c r="M175" i="1" l="1"/>
  <c r="N175" i="1" s="1"/>
  <c r="H176" i="1"/>
  <c r="M176" i="1" l="1"/>
  <c r="N176" i="1" s="1"/>
  <c r="H177" i="1"/>
  <c r="M177" i="1" l="1"/>
  <c r="N177" i="1" s="1"/>
  <c r="H178" i="1"/>
  <c r="M178" i="1" l="1"/>
  <c r="N178" i="1" s="1"/>
  <c r="H179" i="1"/>
  <c r="H180" i="1" l="1"/>
  <c r="M179" i="1"/>
  <c r="N179" i="1" s="1"/>
  <c r="M180" i="1" l="1"/>
  <c r="N180" i="1" s="1"/>
  <c r="H181" i="1"/>
  <c r="M181" i="1" l="1"/>
  <c r="N181" i="1" s="1"/>
  <c r="H182" i="1"/>
  <c r="M182" i="1" s="1"/>
  <c r="N182" i="1" s="1"/>
  <c r="C18" i="1" l="1"/>
  <c r="P211" i="1" l="1"/>
  <c r="H63" i="1" l="1"/>
  <c r="G63" i="1"/>
  <c r="F63" i="1"/>
  <c r="D142" i="1" l="1"/>
  <c r="C142" i="1"/>
  <c r="P210" i="1" l="1"/>
  <c r="P209" i="1" l="1"/>
  <c r="G133" i="1" l="1"/>
  <c r="F133" i="1"/>
  <c r="E133" i="1"/>
  <c r="D133" i="1"/>
  <c r="C133" i="1"/>
  <c r="F137" i="1" l="1"/>
  <c r="E137" i="1"/>
  <c r="D137" i="1"/>
  <c r="C137" i="1"/>
  <c r="F135" i="1"/>
  <c r="E135" i="1"/>
  <c r="D135" i="1"/>
  <c r="C135" i="1"/>
  <c r="I79" i="1"/>
  <c r="P208" i="1" l="1"/>
  <c r="E63" i="1" l="1"/>
  <c r="P207" i="1" l="1"/>
  <c r="P206" i="1" l="1"/>
  <c r="D132" i="1" l="1"/>
  <c r="C132" i="1" l="1"/>
  <c r="G130" i="1" l="1"/>
  <c r="F130" i="1"/>
  <c r="E130" i="1"/>
  <c r="D130" i="1"/>
  <c r="C130" i="1"/>
  <c r="G129" i="1"/>
  <c r="F129" i="1"/>
  <c r="E129" i="1"/>
  <c r="D129" i="1"/>
  <c r="C129" i="1"/>
  <c r="G128" i="1"/>
  <c r="F128" i="1"/>
  <c r="E128" i="1"/>
  <c r="D128" i="1"/>
  <c r="C128" i="1"/>
  <c r="P205" i="1" l="1"/>
  <c r="P204" i="1" l="1"/>
  <c r="P203" i="1" l="1"/>
  <c r="P202" i="1" l="1"/>
  <c r="P201" i="1" l="1"/>
  <c r="P200" i="1" l="1"/>
  <c r="P199" i="1" l="1"/>
  <c r="P198" i="1" l="1"/>
  <c r="P197" i="1" l="1"/>
  <c r="E71" i="1" l="1"/>
  <c r="E77" i="1" s="1"/>
  <c r="E79" i="1" s="1"/>
  <c r="C14" i="1" l="1"/>
  <c r="P196" i="1"/>
  <c r="P195" i="1" l="1"/>
  <c r="P194" i="1" l="1"/>
  <c r="P193" i="1" l="1"/>
  <c r="P192" i="1"/>
  <c r="P191" i="1"/>
  <c r="P190" i="1"/>
  <c r="F138" i="1"/>
  <c r="E138" i="1"/>
  <c r="D138" i="1"/>
  <c r="C138" i="1"/>
  <c r="P189" i="1"/>
  <c r="P188" i="1"/>
  <c r="P187" i="1"/>
  <c r="P186" i="1"/>
  <c r="P185" i="1"/>
  <c r="F71" i="1"/>
  <c r="F77" i="1" s="1"/>
  <c r="P184" i="1"/>
  <c r="P183" i="1"/>
  <c r="J184" i="1"/>
  <c r="J185" i="1" s="1"/>
  <c r="J186" i="1" s="1"/>
  <c r="J187" i="1" s="1"/>
  <c r="J188" i="1" s="1"/>
  <c r="J189" i="1" s="1"/>
  <c r="J190" i="1" s="1"/>
  <c r="J191" i="1" s="1"/>
  <c r="J192" i="1" s="1"/>
  <c r="J193" i="1" s="1"/>
  <c r="J194" i="1" s="1"/>
  <c r="J195" i="1" s="1"/>
  <c r="J196" i="1" s="1"/>
  <c r="J197" i="1" s="1"/>
  <c r="J198" i="1" s="1"/>
  <c r="J199" i="1" s="1"/>
  <c r="J200" i="1" s="1"/>
  <c r="I184" i="1"/>
  <c r="I185" i="1" s="1"/>
  <c r="I186" i="1" s="1"/>
  <c r="I187" i="1" s="1"/>
  <c r="I188" i="1" s="1"/>
  <c r="I189" i="1" s="1"/>
  <c r="I190" i="1" s="1"/>
  <c r="I191" i="1" s="1"/>
  <c r="I192" i="1" s="1"/>
  <c r="I193" i="1" s="1"/>
  <c r="I194" i="1" s="1"/>
  <c r="I195" i="1" s="1"/>
  <c r="I196" i="1" s="1"/>
  <c r="I197" i="1" s="1"/>
  <c r="I198" i="1" s="1"/>
  <c r="I199" i="1" s="1"/>
  <c r="I200" i="1" s="1"/>
  <c r="I201" i="1" s="1"/>
  <c r="I202" i="1" s="1"/>
  <c r="I203" i="1" s="1"/>
  <c r="I204" i="1" s="1"/>
  <c r="I205" i="1" s="1"/>
  <c r="I206" i="1" s="1"/>
  <c r="I207" i="1" s="1"/>
  <c r="I208" i="1" s="1"/>
  <c r="I209" i="1" s="1"/>
  <c r="I210" i="1" s="1"/>
  <c r="I211" i="1" s="1"/>
  <c r="I212" i="1" s="1"/>
  <c r="G184" i="1"/>
  <c r="G185" i="1" s="1"/>
  <c r="G186" i="1" s="1"/>
  <c r="G187" i="1" s="1"/>
  <c r="G188" i="1" s="1"/>
  <c r="G189" i="1" s="1"/>
  <c r="G190" i="1" s="1"/>
  <c r="G191" i="1" s="1"/>
  <c r="G192" i="1" s="1"/>
  <c r="G193" i="1" s="1"/>
  <c r="G194" i="1" s="1"/>
  <c r="G195" i="1" s="1"/>
  <c r="G196" i="1" s="1"/>
  <c r="G197" i="1" s="1"/>
  <c r="G198" i="1" s="1"/>
  <c r="G199" i="1" s="1"/>
  <c r="G200" i="1" s="1"/>
  <c r="G201" i="1" s="1"/>
  <c r="G202" i="1" s="1"/>
  <c r="G203" i="1" s="1"/>
  <c r="G204" i="1" s="1"/>
  <c r="G205" i="1" s="1"/>
  <c r="G206" i="1" s="1"/>
  <c r="G207" i="1" s="1"/>
  <c r="G208" i="1" s="1"/>
  <c r="G209" i="1" s="1"/>
  <c r="G210" i="1" s="1"/>
  <c r="G211" i="1" s="1"/>
  <c r="G212" i="1" s="1"/>
  <c r="F184" i="1"/>
  <c r="F185" i="1" s="1"/>
  <c r="F186" i="1" s="1"/>
  <c r="F187" i="1" s="1"/>
  <c r="F188" i="1" s="1"/>
  <c r="F189" i="1" s="1"/>
  <c r="F190" i="1" s="1"/>
  <c r="F191" i="1" s="1"/>
  <c r="F192" i="1" s="1"/>
  <c r="F193" i="1" s="1"/>
  <c r="F194" i="1" s="1"/>
  <c r="F195" i="1" s="1"/>
  <c r="F196" i="1" s="1"/>
  <c r="F197" i="1" s="1"/>
  <c r="E184" i="1"/>
  <c r="E185" i="1" s="1"/>
  <c r="E186" i="1" s="1"/>
  <c r="E187" i="1" s="1"/>
  <c r="E188" i="1" s="1"/>
  <c r="E189" i="1" s="1"/>
  <c r="E190" i="1" s="1"/>
  <c r="E191" i="1" s="1"/>
  <c r="E192" i="1" s="1"/>
  <c r="E193" i="1" s="1"/>
  <c r="E194" i="1" s="1"/>
  <c r="E195" i="1" s="1"/>
  <c r="E196" i="1" s="1"/>
  <c r="E197" i="1" s="1"/>
  <c r="D184" i="1"/>
  <c r="D185" i="1" s="1"/>
  <c r="D186" i="1" s="1"/>
  <c r="D187" i="1" s="1"/>
  <c r="D188" i="1" s="1"/>
  <c r="D189" i="1" s="1"/>
  <c r="D190" i="1" s="1"/>
  <c r="D191" i="1" s="1"/>
  <c r="D192" i="1" s="1"/>
  <c r="D193" i="1" s="1"/>
  <c r="D194" i="1" s="1"/>
  <c r="D195" i="1" s="1"/>
  <c r="D196" i="1" s="1"/>
  <c r="D197" i="1" s="1"/>
  <c r="D198" i="1" s="1"/>
  <c r="D199" i="1" s="1"/>
  <c r="D200" i="1" s="1"/>
  <c r="D201" i="1" s="1"/>
  <c r="D202" i="1" s="1"/>
  <c r="D203" i="1" s="1"/>
  <c r="D204" i="1" s="1"/>
  <c r="D205" i="1" s="1"/>
  <c r="D206" i="1" s="1"/>
  <c r="D207" i="1" s="1"/>
  <c r="D208" i="1" s="1"/>
  <c r="D209" i="1" s="1"/>
  <c r="D210" i="1" s="1"/>
  <c r="D211" i="1" s="1"/>
  <c r="D212" i="1" s="1"/>
  <c r="C184" i="1"/>
  <c r="C185" i="1" s="1"/>
  <c r="C186" i="1" s="1"/>
  <c r="C187" i="1" s="1"/>
  <c r="C188" i="1" s="1"/>
  <c r="C189" i="1" s="1"/>
  <c r="C190" i="1" s="1"/>
  <c r="C191" i="1" s="1"/>
  <c r="C192" i="1" s="1"/>
  <c r="C193" i="1" s="1"/>
  <c r="C194" i="1" s="1"/>
  <c r="C195" i="1" s="1"/>
  <c r="C196" i="1" s="1"/>
  <c r="C197" i="1" s="1"/>
  <c r="C198" i="1" s="1"/>
  <c r="C199" i="1" s="1"/>
  <c r="C200" i="1" s="1"/>
  <c r="C201" i="1" s="1"/>
  <c r="C202" i="1" s="1"/>
  <c r="C203" i="1" s="1"/>
  <c r="C204" i="1" s="1"/>
  <c r="C205" i="1" s="1"/>
  <c r="C206" i="1" s="1"/>
  <c r="C207" i="1" s="1"/>
  <c r="C208" i="1" s="1"/>
  <c r="C209" i="1" s="1"/>
  <c r="C210" i="1" s="1"/>
  <c r="C211" i="1" s="1"/>
  <c r="C212" i="1" s="1"/>
  <c r="F139" i="1"/>
  <c r="E139" i="1"/>
  <c r="D139" i="1"/>
  <c r="C139" i="1"/>
  <c r="D134" i="1"/>
  <c r="C134" i="1"/>
  <c r="F131" i="1"/>
  <c r="E131" i="1"/>
  <c r="D131" i="1"/>
  <c r="C131" i="1"/>
  <c r="F132" i="1"/>
  <c r="E132" i="1"/>
  <c r="G138" i="1"/>
  <c r="G137" i="1"/>
  <c r="G136" i="1"/>
  <c r="G135" i="1"/>
  <c r="G134" i="1"/>
  <c r="G132" i="1"/>
  <c r="H71" i="1"/>
  <c r="H77" i="1" s="1"/>
  <c r="G71" i="1"/>
  <c r="G77" i="1" s="1"/>
  <c r="F106" i="1"/>
  <c r="F108" i="1" s="1"/>
  <c r="E106" i="1"/>
  <c r="G139" i="1"/>
  <c r="H79" i="1" l="1"/>
  <c r="C16" i="1" s="1"/>
  <c r="G79" i="1"/>
  <c r="F79" i="1"/>
  <c r="C15" i="1" s="1"/>
  <c r="C143" i="1"/>
  <c r="C144" i="1" s="1"/>
  <c r="J201" i="1"/>
  <c r="J202" i="1" s="1"/>
  <c r="J203" i="1" s="1"/>
  <c r="J204" i="1" s="1"/>
  <c r="J205" i="1" s="1"/>
  <c r="J206" i="1" s="1"/>
  <c r="J207" i="1" s="1"/>
  <c r="J208" i="1" s="1"/>
  <c r="J209" i="1" s="1"/>
  <c r="J210" i="1" s="1"/>
  <c r="J211" i="1" s="1"/>
  <c r="J212" i="1" s="1"/>
  <c r="D143" i="1"/>
  <c r="D144" i="1" s="1"/>
  <c r="E198" i="1"/>
  <c r="E199" i="1" s="1"/>
  <c r="E200" i="1" s="1"/>
  <c r="E201" i="1" s="1"/>
  <c r="E202" i="1" s="1"/>
  <c r="E203" i="1" s="1"/>
  <c r="E204" i="1" s="1"/>
  <c r="E205" i="1" s="1"/>
  <c r="E206" i="1" s="1"/>
  <c r="E207" i="1" s="1"/>
  <c r="E208" i="1" s="1"/>
  <c r="E209" i="1" s="1"/>
  <c r="E210" i="1" s="1"/>
  <c r="E211" i="1" s="1"/>
  <c r="E212" i="1" s="1"/>
  <c r="F198" i="1"/>
  <c r="F199" i="1" s="1"/>
  <c r="F200" i="1" s="1"/>
  <c r="F201" i="1" s="1"/>
  <c r="F202" i="1" s="1"/>
  <c r="F203" i="1" s="1"/>
  <c r="F204" i="1" s="1"/>
  <c r="F205" i="1" s="1"/>
  <c r="F206" i="1" s="1"/>
  <c r="F207" i="1" s="1"/>
  <c r="F208" i="1" s="1"/>
  <c r="F209" i="1" s="1"/>
  <c r="F210" i="1" s="1"/>
  <c r="F211" i="1" s="1"/>
  <c r="F212" i="1" s="1"/>
  <c r="E108" i="1"/>
  <c r="E110" i="1" s="1"/>
  <c r="E143" i="1"/>
  <c r="E144" i="1" s="1"/>
  <c r="F143" i="1"/>
  <c r="F144" i="1" s="1"/>
  <c r="F110" i="1"/>
  <c r="G143" i="1"/>
  <c r="G144" i="1" s="1"/>
  <c r="F112" i="1" l="1"/>
  <c r="E112" i="1"/>
  <c r="H184" i="1" l="1"/>
  <c r="M183" i="1"/>
  <c r="N183" i="1" s="1"/>
  <c r="M184" i="1" l="1"/>
  <c r="N184" i="1" s="1"/>
  <c r="H185" i="1"/>
  <c r="H186" i="1" l="1"/>
  <c r="M185" i="1"/>
  <c r="N185" i="1" s="1"/>
  <c r="M186" i="1" l="1"/>
  <c r="N186" i="1" s="1"/>
  <c r="H187" i="1"/>
  <c r="H188" i="1" l="1"/>
  <c r="M187" i="1"/>
  <c r="N187" i="1" s="1"/>
  <c r="M188" i="1" l="1"/>
  <c r="N188" i="1" s="1"/>
  <c r="H189" i="1"/>
  <c r="H190" i="1" l="1"/>
  <c r="M189" i="1"/>
  <c r="N189" i="1" s="1"/>
  <c r="H191" i="1" l="1"/>
  <c r="M190" i="1"/>
  <c r="N190" i="1" s="1"/>
  <c r="H192" i="1" l="1"/>
  <c r="M191" i="1"/>
  <c r="N191" i="1" s="1"/>
  <c r="M192" i="1" l="1"/>
  <c r="N192" i="1" s="1"/>
  <c r="H193" i="1"/>
  <c r="H194" i="1" l="1"/>
  <c r="M193" i="1"/>
  <c r="N193" i="1" s="1"/>
  <c r="M194" i="1" l="1"/>
  <c r="N194" i="1" s="1"/>
  <c r="H195" i="1"/>
  <c r="M195" i="1" l="1"/>
  <c r="N195" i="1" s="1"/>
  <c r="H196" i="1"/>
  <c r="H197" i="1" l="1"/>
  <c r="M196" i="1"/>
  <c r="N196" i="1" s="1"/>
  <c r="H198" i="1" l="1"/>
  <c r="H199" i="1" s="1"/>
  <c r="M197" i="1"/>
  <c r="N197" i="1" s="1"/>
  <c r="M199" i="1" l="1"/>
  <c r="H200" i="1"/>
  <c r="M198" i="1"/>
  <c r="N198" i="1" s="1"/>
  <c r="M200" i="1" l="1"/>
  <c r="N200" i="1" s="1"/>
  <c r="H201" i="1"/>
  <c r="H202" i="1" s="1"/>
  <c r="H203" i="1" s="1"/>
  <c r="N199" i="1"/>
  <c r="M203" i="1" l="1"/>
  <c r="H204" i="1"/>
  <c r="M202" i="1"/>
  <c r="M201" i="1"/>
  <c r="N201" i="1" s="1"/>
  <c r="M204" i="1" l="1"/>
  <c r="N204" i="1" s="1"/>
  <c r="H205" i="1"/>
  <c r="N203" i="1"/>
  <c r="N202" i="1"/>
  <c r="M205" i="1" l="1"/>
  <c r="H206" i="1"/>
  <c r="N205" i="1" l="1"/>
  <c r="H207" i="1"/>
  <c r="H208" i="1" s="1"/>
  <c r="M206" i="1"/>
  <c r="N206" i="1" s="1"/>
  <c r="H209" i="1" l="1"/>
  <c r="H210" i="1" s="1"/>
  <c r="H211" i="1" s="1"/>
  <c r="M208" i="1"/>
  <c r="M207" i="1"/>
  <c r="N207" i="1" s="1"/>
  <c r="H212" i="1" l="1"/>
  <c r="M213" i="1" s="1"/>
  <c r="M210" i="1"/>
  <c r="M211" i="1"/>
  <c r="M209" i="1"/>
  <c r="N209" i="1" s="1"/>
  <c r="N208" i="1"/>
  <c r="M212" i="1" l="1"/>
  <c r="N212" i="1" s="1"/>
  <c r="N211" i="1"/>
  <c r="N210" i="1"/>
  <c r="N213" i="1" l="1"/>
</calcChain>
</file>

<file path=xl/sharedStrings.xml><?xml version="1.0" encoding="utf-8"?>
<sst xmlns="http://schemas.openxmlformats.org/spreadsheetml/2006/main" count="162" uniqueCount="133">
  <si>
    <t>1.</t>
  </si>
  <si>
    <t>Illuminating Paraffin</t>
  </si>
  <si>
    <t>PRICE ADJUSTMENT</t>
  </si>
  <si>
    <t>In terms of the agreed mechanism:</t>
  </si>
  <si>
    <t>(a)</t>
  </si>
  <si>
    <t>(b)</t>
  </si>
  <si>
    <t>The price adjustments in (1) above are based on the following actual data:</t>
  </si>
  <si>
    <t>c/l</t>
  </si>
  <si>
    <t>The annexure attached contains details of the composition of product prices as well as history of the price changes.</t>
  </si>
  <si>
    <t>Zone differential in Gauteng</t>
  </si>
  <si>
    <t>IP Tracer levy</t>
  </si>
  <si>
    <t>Fuel levy</t>
  </si>
  <si>
    <t>Customs &amp; excise duty</t>
  </si>
  <si>
    <t>RAF levy</t>
  </si>
  <si>
    <t>Sub-total</t>
  </si>
  <si>
    <t>Gauteng</t>
  </si>
  <si>
    <t>Coast</t>
  </si>
  <si>
    <t>SA c/l</t>
  </si>
  <si>
    <t>Effective from:</t>
  </si>
  <si>
    <t xml:space="preserve">ECONOMIC FACTORS AFFECTING THE UNIT OVER/UNDER-RECOVERIES FOR THE PERIOD </t>
  </si>
  <si>
    <t>The unit over- or under-recoveries are rounded up or down to the nearest full cent so that the effect of rounding contributes to the clearing of the cumulative balance of the individual products on the slate.</t>
  </si>
  <si>
    <t xml:space="preserve">COMPOSITION OF THE RETAIL PRICE OF PETROL AND THE </t>
  </si>
  <si>
    <t>STATISTICS OF PRICE CHANGES</t>
  </si>
  <si>
    <t>WHOLESALE PRICES FOR DIESEL AND IP IN GAUTENG</t>
  </si>
  <si>
    <t>Slate levy</t>
  </si>
  <si>
    <t>Total price (increase) / decrease</t>
  </si>
  <si>
    <t>The over/(under)-recoveries for the period under review were affected by the factors set out below, which can be quantified as follows:</t>
  </si>
  <si>
    <t>Retail Price</t>
  </si>
  <si>
    <t xml:space="preserve">Wholesale price </t>
  </si>
  <si>
    <t>Average product over/(under)-recovery rounded to the nearest full cent for price (increase) / decrease</t>
  </si>
  <si>
    <t xml:space="preserve">Movements in external factors </t>
  </si>
  <si>
    <t>Movement in International Product Prices</t>
  </si>
  <si>
    <t>Movement in Exchange Rate</t>
  </si>
  <si>
    <t>The price adjustments consist of the following elements:</t>
  </si>
  <si>
    <t>Petrol 95 ULP</t>
  </si>
  <si>
    <t>Petrol 93 ULP &amp; LRP</t>
  </si>
  <si>
    <t>From 4 January 2006 0,05% Sulphur</t>
  </si>
  <si>
    <t>ANNEXURE 1</t>
  </si>
  <si>
    <t>DSML</t>
  </si>
  <si>
    <t>REPORT OF THE INDEPENDENT AUDITORS</t>
  </si>
  <si>
    <t>The report of the independent auditors is available on request.</t>
  </si>
  <si>
    <t>** Diesel 0.05%</t>
  </si>
  <si>
    <t xml:space="preserve">** Diesel 0.005% </t>
  </si>
  <si>
    <t>Contribution to the Basic Fuel Price</t>
  </si>
  <si>
    <t>SINGLE MAXIMUM NATIONAL RETAIL PRICE FOR ILLUMINATING PARAFFIN (SMNRP)</t>
  </si>
  <si>
    <t>MAXIMUM LPGAS REFINERY GATE PRICE</t>
  </si>
  <si>
    <t>Petroleum Products levy</t>
  </si>
  <si>
    <t>7.</t>
  </si>
  <si>
    <t>(c)</t>
  </si>
  <si>
    <t>BREAKDOWN OF PRICE ADJUSTMENT</t>
  </si>
  <si>
    <t>Diesel  0.05% S</t>
  </si>
  <si>
    <t>Diesel  0.005% S</t>
  </si>
  <si>
    <t>Pump Rounding</t>
  </si>
  <si>
    <t>10.</t>
  </si>
  <si>
    <t>Price element</t>
  </si>
  <si>
    <t xml:space="preserve">Coast </t>
  </si>
  <si>
    <t>Zone 1A</t>
  </si>
  <si>
    <t>Inland</t>
  </si>
  <si>
    <t>Zone 9C</t>
  </si>
  <si>
    <t>Maximum refinery gate price</t>
  </si>
  <si>
    <t>Primary transport costs</t>
  </si>
  <si>
    <t>Operating expenses</t>
  </si>
  <si>
    <t>Working capital</t>
  </si>
  <si>
    <t>Depreciation</t>
  </si>
  <si>
    <t>Gross margin: Cylinder-filling plant</t>
  </si>
  <si>
    <t>Sub-total (1)</t>
  </si>
  <si>
    <t>Sub-total (2)</t>
  </si>
  <si>
    <t>Value Added Tax (14% Sub-total (2))</t>
  </si>
  <si>
    <t>Maximum Retail Price (Rounded to full cents)</t>
  </si>
  <si>
    <t>ANALYSIS OF THE ELEMENTS THAT RESULTED IN THE BFP OVER/(UNDER)-RECOVERIES</t>
  </si>
  <si>
    <t>LPGAS (Gauteng, Zone 9C)</t>
  </si>
  <si>
    <t>SA c/Kg</t>
  </si>
  <si>
    <t>Retail Margin: (15% of Subtotal (1))</t>
  </si>
  <si>
    <t>9.</t>
  </si>
  <si>
    <t xml:space="preserve">In order to manage a negative balance in the Cumulative over/(under) recovery account (the Slate), a Self-Adjusting Slate Levy Mechanism (SLM) was implemented with effect from 7 January 2009 (the SLM is available on the website of the Department of Energy).  A Slate levy will only be applicable on all petrol and diesel grades if the Slate balance is negative (cumulative under recovery) by more than R250.0 million
</t>
  </si>
  <si>
    <t>N/A</t>
  </si>
  <si>
    <t>THE INLAND AREA (ZONE 9C) IN CENTS PER KILOGRAM</t>
  </si>
  <si>
    <t>COMPOSITION OF THE MAXIMUM RETAIL PRICES FOR LPGAS AT THE COAST (ZONE 1A) AND IN</t>
  </si>
  <si>
    <t>Illuminating Paraffin (SMNRP)</t>
  </si>
  <si>
    <t>Maximum Retail Price for LPGAS</t>
  </si>
  <si>
    <t>Petrol
 95 ULP</t>
  </si>
  <si>
    <t>Secondary Storage</t>
  </si>
  <si>
    <t>Secondary Distribution</t>
  </si>
  <si>
    <t>Router Differential</t>
  </si>
  <si>
    <t xml:space="preserve">Retail margin                                                   </t>
  </si>
  <si>
    <t>Illumi-
nating Paraffin</t>
  </si>
  <si>
    <t>RELEASED BY CEF (SOC) LTD ON BEHALF OF THE DEPARTMENT OF ENERGY</t>
  </si>
  <si>
    <t>5.</t>
  </si>
  <si>
    <t>6.</t>
  </si>
  <si>
    <t>SLATE LEVY</t>
  </si>
  <si>
    <t>11.</t>
  </si>
  <si>
    <t>Wholesale margin</t>
  </si>
  <si>
    <t>Diesel</t>
  </si>
  <si>
    <t>LPGAS</t>
  </si>
  <si>
    <t>Petrol 95 ULP &amp; LRP</t>
  </si>
  <si>
    <t>Illuminating Paraffin Wholesale</t>
  </si>
  <si>
    <t>Equalisation Fund Levy</t>
  </si>
  <si>
    <t xml:space="preserve"> </t>
  </si>
  <si>
    <t>2.6 decrease in Zone diff</t>
  </si>
  <si>
    <t>Price changes are adjusted in such a manner that the over- or under-recovery during the prior month will be corrected in the following month; and</t>
  </si>
  <si>
    <t>8.</t>
  </si>
  <si>
    <t>1c was added to the calculation in column M because of the manual calculation should have been 1c more</t>
  </si>
  <si>
    <t>ENQUIRIES:  MRS LERATO NTSOKO 082 459 2788 / MR J MOKOBANE 082 766 3674</t>
  </si>
  <si>
    <t>3.</t>
  </si>
  <si>
    <t>4.</t>
  </si>
  <si>
    <t>2.</t>
  </si>
  <si>
    <t>Diesel 0.05 (%)
Sulphur</t>
  </si>
  <si>
    <t>Diesel 0.005 (%)
Sulphur</t>
  </si>
  <si>
    <t>Product:</t>
  </si>
  <si>
    <t>Illuminating Paraffin (Wholesale)</t>
  </si>
  <si>
    <t>Both Grades of Diesel 0.05% &amp; 0.005% Sulphur</t>
  </si>
  <si>
    <t xml:space="preserve">cents per litre decrease in retail price </t>
  </si>
  <si>
    <t>cents per litre decrease in wholesale price</t>
  </si>
  <si>
    <t>cents per litre decrease in the Single Maximum National Retail price (SMNRP)</t>
  </si>
  <si>
    <t>cents per kilogram decrease in the maximum retail price</t>
  </si>
  <si>
    <t>MEDIA STATEMENT - FOR RELEASE ON 30 JUNE 2017</t>
  </si>
  <si>
    <t>02 JUNE 2017 TO 29 JUNE 2017</t>
  </si>
  <si>
    <t>PRICE CHANGES TO BE EFFECTED ON WEDNESDAY 05 JULY 2017 IN GAUTENG (INCREASE) / DECREASE</t>
  </si>
  <si>
    <t>In line with the Self-Adjusting Slate Levy Mechanism Rules, the Slate levy on petrol and diesel will remain at 0.00 c/l with effect from 05 July 2017.</t>
  </si>
  <si>
    <t>ADJUSTMENT TO THE OCTANE DIFFERENTIAL BETWEEN 95 AND 93 OCTANES</t>
  </si>
  <si>
    <t>In line with the Working Rules to administer the Basic Fuels Price, the 95 octane (unleaded) grade is the price-marker grade and the BFP-differentials between 95 and 93 octanes will be adjusted on the first Wednesday of each quarter. The price changes to 93 octane includes the adjustment to the differential and therefore the prices of 95 and 93 octanes will differ in each Fuel Price Zone, but also differ between zones due to the adjustment in the zone differentials.</t>
  </si>
  <si>
    <t>12.</t>
  </si>
  <si>
    <t>BFP Over/(under)-recovery for the period 02/06/2017 to 29/06/2017</t>
  </si>
  <si>
    <t>FOR THE PERIOD 05/07/2017 TO 01/08/2017 WILL BE AS FOLLOWS:</t>
  </si>
  <si>
    <t>95 ULP &amp; LRP</t>
  </si>
  <si>
    <t>93 ULP &amp; LRP</t>
  </si>
  <si>
    <t>Average product over/(under)-recovery, measured for the 20 days from 02/06/2017 to 29/06/2017 (cents / litre) as detailed below</t>
  </si>
  <si>
    <t>FOR THE PERIOD 05/07/2017 TO 01/08/2017 WILL BE AS FOLLOWS</t>
  </si>
  <si>
    <t>The average international product prices of Petrol, Diesel and Illuminating Paraffin decreased during the period under review.</t>
  </si>
  <si>
    <t>The maximum refinery gate price will be R 6 542.29 per metric ton (363.1 c/l), excluding VAT, for the period 05 July 2017 to 01 August 2017.</t>
  </si>
  <si>
    <t>Cumulative positive/(negative) slate balances end of May 2017 (R-million)</t>
  </si>
  <si>
    <t>The Single Maximum National Retail Price for the period 05 July 2017 to 01 August 2017 will be 841.0  c/l compared to 917.0 c/l for the period 07 June 2017 to 04 July 2017.</t>
  </si>
  <si>
    <t>The Rand appreciated against the US Dollar during the period under review, on average, when compared to the previous period.  The average Rand/US Dollar exchange rate for the period 02 June 2017 to 29 June 2017 was 12.8756  compared to 13.2587 during the previous period. This led to a lower contribution to the Basic Fuels Price on petrol, diesel and illuminating paraffin by 15.16 c/l,  14.58 c/l and 14.58 c/l respectively.</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</si>
</sst>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 ##0.000\ ;\(#\ ##0.000\)"/>
    <numFmt numFmtId="165" formatCode="0.000"/>
    <numFmt numFmtId="166" formatCode="#,##0\ ;\-#,##0"/>
    <numFmt numFmtId="167" formatCode="#\ ##0.00\ ;\(#\ ##0.00\)"/>
    <numFmt numFmtId="168" formatCode="#,##0.000"/>
    <numFmt numFmtId="169" formatCode="#,##0.0;\(#,##0.0\)"/>
    <numFmt numFmtId="170" formatCode="0.000000000000000_);\(0.000000000000000\)"/>
    <numFmt numFmtId="171" formatCode="[$-F800]dddd\,\ mmmm\ dd\,\ yyyy"/>
    <numFmt numFmtId="172" formatCode="#,##0.00;\(#,##0.00\)"/>
    <numFmt numFmtId="173" formatCode="#,##0.0"/>
    <numFmt numFmtId="174" formatCode="0.000_);\(0.000\)"/>
  </numFmts>
  <fonts count="8">
    <font>
      <sz val="10"/>
      <name val="Arial"/>
    </font>
    <font>
      <sz val="10"/>
      <name val="Arial"/>
      <family val="2"/>
    </font>
    <font>
      <b/>
      <sz val="10"/>
      <name val="Arial"/>
      <family val="2"/>
    </font>
    <font>
      <b/>
      <u/>
      <sz val="10"/>
      <name val="Arial"/>
      <family val="2"/>
    </font>
    <font>
      <u/>
      <sz val="10"/>
      <name val="Arial"/>
      <family val="2"/>
    </font>
    <font>
      <sz val="10"/>
      <name val="Albertus Extra Bold"/>
      <family val="2"/>
      <charset val="1"/>
    </font>
    <font>
      <b/>
      <sz val="9"/>
      <name val="Arial"/>
      <family val="2"/>
    </font>
    <font>
      <sz val="11"/>
      <name val="Calibri"/>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125">
    <xf numFmtId="0" fontId="0" fillId="0" borderId="0" xfId="0"/>
    <xf numFmtId="0" fontId="2" fillId="0" borderId="0" xfId="0" applyFont="1" applyAlignment="1">
      <alignment vertical="top"/>
    </xf>
    <xf numFmtId="0" fontId="1" fillId="0" borderId="0" xfId="0" applyFont="1"/>
    <xf numFmtId="167" fontId="1" fillId="0" borderId="0" xfId="0" applyNumberFormat="1" applyFont="1" applyAlignment="1">
      <alignment horizontal="right"/>
    </xf>
    <xf numFmtId="1" fontId="1" fillId="0" borderId="0" xfId="0" applyNumberFormat="1" applyFont="1"/>
    <xf numFmtId="0" fontId="2" fillId="0" borderId="0" xfId="0" applyFont="1"/>
    <xf numFmtId="0" fontId="1" fillId="0" borderId="1" xfId="0" applyFont="1" applyBorder="1"/>
    <xf numFmtId="0" fontId="1" fillId="0" borderId="2" xfId="0" applyFont="1" applyBorder="1"/>
    <xf numFmtId="0" fontId="1" fillId="0" borderId="3" xfId="0" applyFont="1" applyBorder="1"/>
    <xf numFmtId="0" fontId="3" fillId="0" borderId="5" xfId="0" applyFont="1" applyBorder="1" applyAlignment="1">
      <alignment horizontal="center"/>
    </xf>
    <xf numFmtId="0" fontId="2" fillId="0" borderId="5" xfId="0" applyFont="1" applyBorder="1"/>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0" xfId="0" quotePrefix="1" applyFont="1" applyAlignment="1">
      <alignment vertical="top"/>
    </xf>
    <xf numFmtId="0" fontId="4" fillId="0" borderId="0" xfId="0" applyFont="1"/>
    <xf numFmtId="0" fontId="1" fillId="0" borderId="0" xfId="0" applyFont="1" applyAlignment="1">
      <alignment horizontal="justify"/>
    </xf>
    <xf numFmtId="164" fontId="1" fillId="0" borderId="0" xfId="0" applyNumberFormat="1" applyFont="1" applyAlignment="1">
      <alignment horizontal="right"/>
    </xf>
    <xf numFmtId="164" fontId="1" fillId="0" borderId="0" xfId="0" applyNumberFormat="1" applyFont="1"/>
    <xf numFmtId="0" fontId="2" fillId="0" borderId="0" xfId="0" quotePrefix="1" applyFont="1" applyAlignment="1">
      <alignment horizontal="left" vertical="top"/>
    </xf>
    <xf numFmtId="0" fontId="3" fillId="0" borderId="0" xfId="0" applyFont="1"/>
    <xf numFmtId="0" fontId="1" fillId="0" borderId="5" xfId="0" applyFont="1" applyBorder="1"/>
    <xf numFmtId="0" fontId="2" fillId="0" borderId="0" xfId="0" applyFont="1" applyFill="1" applyBorder="1" applyAlignment="1">
      <alignment horizontal="justify" wrapText="1"/>
    </xf>
    <xf numFmtId="164" fontId="1" fillId="0" borderId="0" xfId="0" applyNumberFormat="1" applyFont="1" applyBorder="1" applyAlignment="1">
      <alignment horizontal="right"/>
    </xf>
    <xf numFmtId="164" fontId="1" fillId="0" borderId="0" xfId="0" applyNumberFormat="1" applyFont="1" applyBorder="1"/>
    <xf numFmtId="0" fontId="3" fillId="0" borderId="0" xfId="0" applyFont="1" applyAlignment="1">
      <alignment horizontal="right"/>
    </xf>
    <xf numFmtId="164" fontId="2" fillId="0" borderId="9" xfId="0" applyNumberFormat="1" applyFont="1" applyBorder="1"/>
    <xf numFmtId="164" fontId="2" fillId="0" borderId="0" xfId="0" applyNumberFormat="1" applyFont="1" applyBorder="1"/>
    <xf numFmtId="0" fontId="2" fillId="0" borderId="10" xfId="0" applyFont="1" applyBorder="1" applyAlignment="1">
      <alignment horizontal="center" wrapText="1"/>
    </xf>
    <xf numFmtId="0" fontId="2" fillId="0" borderId="5" xfId="0" applyFont="1" applyBorder="1" applyAlignment="1">
      <alignment horizontal="center" wrapText="1"/>
    </xf>
    <xf numFmtId="0" fontId="2" fillId="0" borderId="0" xfId="0" applyFont="1" applyFill="1" applyBorder="1" applyAlignment="1">
      <alignment horizontal="center" wrapText="1"/>
    </xf>
    <xf numFmtId="0" fontId="2" fillId="0" borderId="11" xfId="0" applyFont="1" applyBorder="1" applyAlignment="1">
      <alignment horizontal="center"/>
    </xf>
    <xf numFmtId="0" fontId="2" fillId="0" borderId="0" xfId="0" applyFont="1" applyFill="1" applyBorder="1" applyAlignment="1">
      <alignment horizontal="center"/>
    </xf>
    <xf numFmtId="0" fontId="1" fillId="0" borderId="0" xfId="0" applyFont="1" applyAlignment="1">
      <alignment horizontal="justify" vertical="top"/>
    </xf>
    <xf numFmtId="0" fontId="5" fillId="0" borderId="0" xfId="0" applyFont="1"/>
    <xf numFmtId="0" fontId="1" fillId="0" borderId="7" xfId="0" applyFont="1" applyBorder="1"/>
    <xf numFmtId="0" fontId="1" fillId="0" borderId="0" xfId="0" applyFont="1" applyBorder="1"/>
    <xf numFmtId="0" fontId="2" fillId="0" borderId="0" xfId="0" applyFont="1" applyBorder="1" applyAlignment="1">
      <alignment horizontal="center" wrapText="1"/>
    </xf>
    <xf numFmtId="164" fontId="1" fillId="0" borderId="12" xfId="0" applyNumberFormat="1" applyFont="1" applyBorder="1"/>
    <xf numFmtId="164" fontId="1" fillId="0" borderId="12" xfId="0" applyNumberFormat="1" applyFont="1" applyBorder="1" applyAlignment="1">
      <alignment horizontal="right"/>
    </xf>
    <xf numFmtId="164" fontId="1" fillId="0" borderId="11" xfId="0" applyNumberFormat="1" applyFont="1" applyBorder="1" applyAlignment="1">
      <alignment horizontal="right"/>
    </xf>
    <xf numFmtId="164" fontId="1" fillId="0" borderId="1" xfId="0" applyNumberFormat="1" applyFont="1" applyBorder="1"/>
    <xf numFmtId="164" fontId="1" fillId="0" borderId="10" xfId="0" applyNumberFormat="1" applyFont="1" applyBorder="1"/>
    <xf numFmtId="164" fontId="2" fillId="0" borderId="13" xfId="0" applyNumberFormat="1" applyFont="1" applyBorder="1" applyAlignment="1">
      <alignment horizontal="right"/>
    </xf>
    <xf numFmtId="164" fontId="2" fillId="0" borderId="14" xfId="0" applyNumberFormat="1" applyFont="1" applyBorder="1" applyAlignment="1">
      <alignment horizontal="right"/>
    </xf>
    <xf numFmtId="164" fontId="1" fillId="0" borderId="15" xfId="0" applyNumberFormat="1" applyFont="1" applyBorder="1" applyAlignment="1">
      <alignment horizontal="right"/>
    </xf>
    <xf numFmtId="164" fontId="2" fillId="0" borderId="16" xfId="0" applyNumberFormat="1" applyFont="1" applyBorder="1" applyAlignment="1">
      <alignment horizontal="right"/>
    </xf>
    <xf numFmtId="0" fontId="2" fillId="0" borderId="0" xfId="0" applyFont="1" applyAlignment="1">
      <alignment horizontal="justify" vertical="top" wrapText="1"/>
    </xf>
    <xf numFmtId="166" fontId="1" fillId="0" borderId="0" xfId="0" applyNumberFormat="1" applyFont="1" applyBorder="1"/>
    <xf numFmtId="0" fontId="1" fillId="0" borderId="0" xfId="0" applyFont="1" applyAlignment="1">
      <alignment horizontal="justify" wrapText="1"/>
    </xf>
    <xf numFmtId="164" fontId="1" fillId="0" borderId="2" xfId="0" applyNumberFormat="1" applyFont="1" applyBorder="1"/>
    <xf numFmtId="0" fontId="4" fillId="0" borderId="0" xfId="0" applyFont="1" applyAlignment="1">
      <alignment wrapText="1"/>
    </xf>
    <xf numFmtId="4" fontId="1" fillId="0" borderId="0" xfId="0" applyNumberFormat="1" applyFont="1" applyBorder="1"/>
    <xf numFmtId="165" fontId="1" fillId="0" borderId="0" xfId="0" applyNumberFormat="1" applyFont="1"/>
    <xf numFmtId="15" fontId="1" fillId="0" borderId="0" xfId="0" quotePrefix="1" applyNumberFormat="1" applyFont="1" applyAlignment="1">
      <alignment horizontal="left"/>
    </xf>
    <xf numFmtId="165" fontId="2" fillId="0" borderId="0" xfId="0" applyNumberFormat="1" applyFont="1" applyAlignment="1">
      <alignment horizontal="right"/>
    </xf>
    <xf numFmtId="165" fontId="1" fillId="0" borderId="0" xfId="0" applyNumberFormat="1" applyFont="1" applyAlignment="1">
      <alignment horizontal="right"/>
    </xf>
    <xf numFmtId="168" fontId="1" fillId="0" borderId="0" xfId="0" applyNumberFormat="1" applyFont="1" applyBorder="1"/>
    <xf numFmtId="0" fontId="6" fillId="0" borderId="17" xfId="0" applyFont="1" applyBorder="1" applyAlignment="1">
      <alignment horizontal="justify"/>
    </xf>
    <xf numFmtId="0" fontId="6" fillId="0" borderId="17" xfId="0" applyFont="1" applyBorder="1" applyAlignment="1">
      <alignment horizontal="justify" wrapText="1"/>
    </xf>
    <xf numFmtId="0" fontId="6" fillId="0" borderId="10" xfId="0" applyFont="1" applyBorder="1" applyAlignment="1">
      <alignment horizontal="center" wrapText="1"/>
    </xf>
    <xf numFmtId="2" fontId="1" fillId="0" borderId="0" xfId="0" applyNumberFormat="1" applyFont="1"/>
    <xf numFmtId="0" fontId="7" fillId="0" borderId="0" xfId="0" applyFont="1"/>
    <xf numFmtId="169" fontId="1" fillId="0" borderId="0" xfId="0" applyNumberFormat="1" applyFont="1"/>
    <xf numFmtId="0" fontId="2" fillId="0" borderId="12" xfId="0" applyFont="1" applyBorder="1" applyAlignment="1">
      <alignment horizontal="center"/>
    </xf>
    <xf numFmtId="16" fontId="1" fillId="0" borderId="0" xfId="0" applyNumberFormat="1" applyFont="1"/>
    <xf numFmtId="169" fontId="1" fillId="0" borderId="0" xfId="0" applyNumberFormat="1" applyFont="1" applyBorder="1"/>
    <xf numFmtId="0" fontId="7" fillId="0" borderId="0" xfId="0" applyFont="1" applyAlignment="1">
      <alignment vertical="center"/>
    </xf>
    <xf numFmtId="15" fontId="1" fillId="0" borderId="0" xfId="0" applyNumberFormat="1" applyFont="1" applyAlignment="1">
      <alignment horizontal="left"/>
    </xf>
    <xf numFmtId="167" fontId="1" fillId="2" borderId="0" xfId="0" applyNumberFormat="1" applyFont="1" applyFill="1" applyAlignment="1">
      <alignment horizontal="right"/>
    </xf>
    <xf numFmtId="164" fontId="1" fillId="0" borderId="0" xfId="0" applyNumberFormat="1" applyFont="1" applyFill="1"/>
    <xf numFmtId="170" fontId="1" fillId="0" borderId="0" xfId="0" applyNumberFormat="1" applyFont="1"/>
    <xf numFmtId="164" fontId="1" fillId="0" borderId="0" xfId="0" applyNumberFormat="1" applyFont="1" applyFill="1" applyBorder="1" applyAlignment="1">
      <alignment horizontal="right"/>
    </xf>
    <xf numFmtId="171" fontId="1" fillId="0" borderId="0" xfId="0" applyNumberFormat="1" applyFont="1"/>
    <xf numFmtId="164" fontId="1" fillId="0" borderId="9" xfId="0" applyNumberFormat="1" applyFont="1" applyBorder="1"/>
    <xf numFmtId="0" fontId="1" fillId="0" borderId="0" xfId="0" applyFont="1" applyBorder="1" applyAlignment="1">
      <alignment horizontal="left" vertical="top" wrapText="1"/>
    </xf>
    <xf numFmtId="0" fontId="4" fillId="0" borderId="0" xfId="0" applyFont="1" applyBorder="1" applyAlignment="1">
      <alignment horizontal="center" vertical="top" wrapText="1"/>
    </xf>
    <xf numFmtId="173" fontId="1" fillId="0" borderId="0" xfId="0" applyNumberFormat="1" applyFont="1" applyBorder="1" applyAlignment="1">
      <alignment horizontal="center" vertical="top" wrapText="1"/>
    </xf>
    <xf numFmtId="0" fontId="1" fillId="0" borderId="0" xfId="0" applyFont="1" applyBorder="1" applyAlignment="1">
      <alignment horizontal="justify"/>
    </xf>
    <xf numFmtId="0" fontId="1" fillId="0" borderId="0" xfId="0" applyFont="1" applyBorder="1" applyAlignment="1">
      <alignment horizontal="justify" wrapText="1"/>
    </xf>
    <xf numFmtId="174" fontId="1" fillId="0" borderId="0" xfId="0" applyNumberFormat="1" applyFont="1"/>
    <xf numFmtId="164" fontId="2" fillId="0" borderId="16" xfId="0" applyNumberFormat="1" applyFont="1" applyBorder="1"/>
    <xf numFmtId="0" fontId="4" fillId="0" borderId="0" xfId="0" applyFont="1" applyBorder="1" applyAlignment="1">
      <alignment horizontal="left" vertical="top" wrapText="1"/>
    </xf>
    <xf numFmtId="0" fontId="1" fillId="0" borderId="0" xfId="0" applyFont="1" applyBorder="1" applyAlignment="1">
      <alignment wrapText="1"/>
    </xf>
    <xf numFmtId="0" fontId="2" fillId="0" borderId="0" xfId="0" quotePrefix="1" applyFont="1" applyAlignment="1"/>
    <xf numFmtId="164" fontId="1" fillId="0" borderId="0" xfId="0" applyNumberFormat="1" applyFont="1" applyFill="1" applyBorder="1"/>
    <xf numFmtId="164" fontId="1" fillId="0" borderId="10" xfId="0" applyNumberFormat="1" applyFont="1" applyFill="1" applyBorder="1" applyAlignment="1">
      <alignment horizontal="right"/>
    </xf>
    <xf numFmtId="0" fontId="1" fillId="0" borderId="0" xfId="0" applyFont="1" applyBorder="1" applyAlignment="1"/>
    <xf numFmtId="0" fontId="1" fillId="0" borderId="0" xfId="0" applyFont="1" applyAlignment="1">
      <alignment wrapText="1"/>
    </xf>
    <xf numFmtId="0" fontId="3"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justify" vertical="top" wrapText="1"/>
    </xf>
    <xf numFmtId="0" fontId="3" fillId="0" borderId="0" xfId="0" quotePrefix="1" applyFont="1" applyAlignment="1">
      <alignment horizontal="left" vertical="top" wrapText="1"/>
    </xf>
    <xf numFmtId="0" fontId="3" fillId="0" borderId="0" xfId="0" applyFont="1" applyBorder="1" applyAlignment="1">
      <alignment horizontal="center"/>
    </xf>
    <xf numFmtId="0" fontId="3" fillId="0" borderId="4" xfId="0" applyFont="1" applyBorder="1" applyAlignment="1">
      <alignment horizontal="center"/>
    </xf>
    <xf numFmtId="0" fontId="2" fillId="0" borderId="5" xfId="0" applyFont="1" applyBorder="1" applyAlignment="1">
      <alignment horizontal="center"/>
    </xf>
    <xf numFmtId="0" fontId="2" fillId="0" borderId="0" xfId="0" applyFont="1" applyBorder="1" applyAlignment="1">
      <alignment horizontal="center"/>
    </xf>
    <xf numFmtId="0" fontId="1" fillId="0" borderId="0" xfId="0" applyFont="1" applyFill="1" applyAlignment="1">
      <alignment horizontal="justify" vertical="top" wrapText="1"/>
    </xf>
    <xf numFmtId="172" fontId="1" fillId="0" borderId="0" xfId="0" applyNumberFormat="1" applyFont="1" applyBorder="1" applyAlignment="1">
      <alignment horizontal="center" wrapText="1"/>
    </xf>
    <xf numFmtId="164" fontId="1" fillId="0" borderId="0" xfId="0" applyNumberFormat="1" applyFont="1" applyFill="1" applyAlignment="1">
      <alignment horizontal="right"/>
    </xf>
    <xf numFmtId="4" fontId="1" fillId="0" borderId="9" xfId="0" applyNumberFormat="1" applyFont="1" applyBorder="1"/>
    <xf numFmtId="4" fontId="1" fillId="2" borderId="9" xfId="0" applyNumberFormat="1" applyFont="1" applyFill="1" applyBorder="1"/>
    <xf numFmtId="168" fontId="1" fillId="0" borderId="9" xfId="0" applyNumberFormat="1" applyFont="1" applyBorder="1"/>
    <xf numFmtId="0" fontId="3" fillId="0" borderId="0" xfId="0" applyFont="1" applyAlignment="1">
      <alignment wrapText="1"/>
    </xf>
    <xf numFmtId="0" fontId="1" fillId="0" borderId="0" xfId="0" applyFont="1" applyAlignment="1">
      <alignment wrapText="1"/>
    </xf>
    <xf numFmtId="0" fontId="3" fillId="0" borderId="0" xfId="0" applyFont="1" applyAlignment="1">
      <alignment horizontal="left" vertical="top" wrapText="1"/>
    </xf>
    <xf numFmtId="0" fontId="1" fillId="0" borderId="0" xfId="0" applyFont="1" applyAlignment="1">
      <alignment horizontal="left" vertical="top" wrapText="1"/>
    </xf>
    <xf numFmtId="0" fontId="2" fillId="0" borderId="18" xfId="0" applyFont="1" applyBorder="1" applyAlignment="1">
      <alignment horizontal="center"/>
    </xf>
    <xf numFmtId="0" fontId="2" fillId="0" borderId="19" xfId="0" applyFont="1" applyBorder="1" applyAlignment="1">
      <alignment horizontal="center"/>
    </xf>
    <xf numFmtId="0" fontId="3" fillId="0" borderId="0" xfId="0" applyFont="1" applyAlignment="1">
      <alignment horizontal="center"/>
    </xf>
    <xf numFmtId="0" fontId="1" fillId="0" borderId="0" xfId="0" applyFont="1" applyAlignment="1">
      <alignment horizontal="justify" vertical="top" wrapText="1"/>
    </xf>
    <xf numFmtId="0" fontId="2" fillId="0" borderId="0" xfId="0" applyFont="1" applyAlignment="1">
      <alignment horizontal="justify" wrapText="1"/>
    </xf>
    <xf numFmtId="0" fontId="2" fillId="0" borderId="4" xfId="0" applyFont="1" applyBorder="1" applyAlignment="1">
      <alignment horizontal="justify" wrapText="1"/>
    </xf>
    <xf numFmtId="0" fontId="3" fillId="0" borderId="0" xfId="0" applyFont="1" applyAlignment="1">
      <alignment horizontal="center" vertical="top" wrapText="1"/>
    </xf>
    <xf numFmtId="0" fontId="1" fillId="0" borderId="0" xfId="0" applyFont="1" applyAlignment="1">
      <alignment horizontal="center" vertical="top" wrapText="1"/>
    </xf>
    <xf numFmtId="0" fontId="3" fillId="0" borderId="0" xfId="0" quotePrefix="1" applyFont="1" applyAlignment="1">
      <alignment horizontal="left" vertical="top" wrapText="1"/>
    </xf>
    <xf numFmtId="0" fontId="3" fillId="0" borderId="5" xfId="0" quotePrefix="1" applyFont="1" applyBorder="1" applyAlignment="1">
      <alignment horizontal="center"/>
    </xf>
    <xf numFmtId="0" fontId="3" fillId="0" borderId="0" xfId="0" applyFont="1" applyBorder="1" applyAlignment="1">
      <alignment horizontal="center"/>
    </xf>
    <xf numFmtId="0" fontId="3" fillId="0" borderId="4" xfId="0" applyFont="1" applyBorder="1" applyAlignment="1">
      <alignment horizontal="center"/>
    </xf>
    <xf numFmtId="0" fontId="2" fillId="0" borderId="5" xfId="0" applyFont="1" applyBorder="1" applyAlignment="1">
      <alignment horizontal="center"/>
    </xf>
    <xf numFmtId="0" fontId="2" fillId="0" borderId="0" xfId="0" applyFont="1" applyBorder="1" applyAlignment="1">
      <alignment horizontal="center"/>
    </xf>
    <xf numFmtId="0" fontId="2" fillId="0" borderId="4" xfId="0" applyFont="1" applyBorder="1" applyAlignment="1">
      <alignment horizontal="center"/>
    </xf>
    <xf numFmtId="0" fontId="1" fillId="0" borderId="0" xfId="0" applyFont="1" applyFill="1" applyAlignment="1">
      <alignment horizontal="justify" vertical="top" wrapText="1"/>
    </xf>
    <xf numFmtId="0" fontId="1" fillId="0" borderId="0" xfId="0" applyFont="1" applyFill="1" applyAlignment="1">
      <alignment horizontal="left" vertical="top" wrapText="1"/>
    </xf>
    <xf numFmtId="0" fontId="3" fillId="0" borderId="0" xfId="0" applyFont="1" applyAlignment="1">
      <alignment horizontal="left" wrapText="1"/>
    </xf>
  </cellXfs>
  <cellStyles count="3">
    <cellStyle name="Normal" xfId="0" builtinId="0"/>
    <cellStyle name="Normal 2" xfId="2"/>
    <cellStyle name="Normal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38"/>
  <sheetViews>
    <sheetView tabSelected="1" zoomScaleNormal="100" workbookViewId="0">
      <selection activeCell="I213" sqref="I213"/>
    </sheetView>
  </sheetViews>
  <sheetFormatPr defaultColWidth="9.140625" defaultRowHeight="12.75"/>
  <cols>
    <col min="1" max="1" width="4.42578125" style="1" customWidth="1"/>
    <col min="2" max="2" width="24" style="2" customWidth="1"/>
    <col min="3" max="3" width="9.5703125" style="2" customWidth="1"/>
    <col min="4" max="4" width="10.28515625" style="2" customWidth="1"/>
    <col min="5" max="5" width="13.5703125" style="2" customWidth="1"/>
    <col min="6" max="6" width="13.7109375" style="2" customWidth="1"/>
    <col min="7" max="7" width="11.85546875" style="2" customWidth="1"/>
    <col min="8" max="8" width="11.7109375" style="2" customWidth="1"/>
    <col min="9" max="9" width="13" style="2" bestFit="1" customWidth="1"/>
    <col min="10" max="10" width="11" style="2" customWidth="1"/>
    <col min="11" max="11" width="11.42578125" style="2" customWidth="1"/>
    <col min="12" max="12" width="33.7109375" style="2" customWidth="1"/>
    <col min="13" max="18" width="9.140625" style="2"/>
    <col min="19" max="19" width="7.5703125" style="2" customWidth="1"/>
    <col min="20" max="16384" width="9.140625" style="2"/>
  </cols>
  <sheetData>
    <row r="1" spans="1:12" ht="14.25" customHeight="1">
      <c r="A1" s="1" t="s">
        <v>97</v>
      </c>
      <c r="B1" s="6"/>
      <c r="C1" s="7"/>
      <c r="D1" s="7"/>
      <c r="E1" s="7"/>
      <c r="F1" s="7"/>
      <c r="G1" s="7"/>
      <c r="H1" s="7"/>
      <c r="I1" s="8"/>
    </row>
    <row r="2" spans="1:12">
      <c r="B2" s="116" t="s">
        <v>115</v>
      </c>
      <c r="C2" s="117"/>
      <c r="D2" s="117"/>
      <c r="E2" s="117"/>
      <c r="F2" s="117"/>
      <c r="G2" s="117"/>
      <c r="H2" s="117"/>
      <c r="I2" s="118"/>
    </row>
    <row r="3" spans="1:12">
      <c r="B3" s="9"/>
      <c r="C3" s="93"/>
      <c r="D3" s="93"/>
      <c r="E3" s="93"/>
      <c r="F3" s="93"/>
      <c r="G3" s="93"/>
      <c r="H3" s="93"/>
      <c r="I3" s="94"/>
      <c r="L3" s="5"/>
    </row>
    <row r="4" spans="1:12">
      <c r="B4" s="119" t="s">
        <v>86</v>
      </c>
      <c r="C4" s="120"/>
      <c r="D4" s="120"/>
      <c r="E4" s="120"/>
      <c r="F4" s="120"/>
      <c r="G4" s="120"/>
      <c r="H4" s="120"/>
      <c r="I4" s="121"/>
    </row>
    <row r="5" spans="1:12" ht="5.25" customHeight="1">
      <c r="B5" s="10"/>
      <c r="C5" s="93"/>
      <c r="D5" s="93"/>
      <c r="E5" s="93"/>
      <c r="F5" s="93"/>
      <c r="G5" s="93"/>
      <c r="H5" s="93"/>
      <c r="I5" s="94"/>
    </row>
    <row r="6" spans="1:12">
      <c r="B6" s="119" t="s">
        <v>102</v>
      </c>
      <c r="C6" s="120"/>
      <c r="D6" s="120"/>
      <c r="E6" s="120"/>
      <c r="F6" s="120"/>
      <c r="G6" s="120"/>
      <c r="H6" s="120"/>
      <c r="I6" s="121"/>
    </row>
    <row r="7" spans="1:12">
      <c r="B7" s="11"/>
      <c r="C7" s="12"/>
      <c r="D7" s="12"/>
      <c r="E7" s="12"/>
      <c r="F7" s="12"/>
      <c r="G7" s="12"/>
      <c r="H7" s="12"/>
      <c r="I7" s="13"/>
    </row>
    <row r="8" spans="1:12" ht="18.75" customHeight="1"/>
    <row r="9" spans="1:12">
      <c r="A9" s="14" t="s">
        <v>0</v>
      </c>
      <c r="B9" s="105" t="s">
        <v>117</v>
      </c>
      <c r="C9" s="105"/>
      <c r="D9" s="105"/>
      <c r="E9" s="105"/>
      <c r="F9" s="105"/>
      <c r="G9" s="105"/>
      <c r="H9" s="105"/>
      <c r="I9" s="105"/>
    </row>
    <row r="10" spans="1:12" ht="6.75" customHeight="1">
      <c r="B10" s="89"/>
      <c r="C10" s="89"/>
      <c r="D10" s="89"/>
      <c r="E10" s="89"/>
      <c r="F10" s="89"/>
      <c r="G10" s="89"/>
      <c r="H10" s="89"/>
      <c r="I10" s="89"/>
    </row>
    <row r="11" spans="1:12">
      <c r="B11" s="82" t="s">
        <v>108</v>
      </c>
      <c r="C11" s="76"/>
      <c r="D11" s="76"/>
      <c r="E11" s="75"/>
      <c r="F11" s="75"/>
      <c r="G11" s="76"/>
      <c r="H11" s="76"/>
    </row>
    <row r="12" spans="1:12">
      <c r="B12" s="82"/>
      <c r="C12" s="76"/>
      <c r="D12" s="76"/>
      <c r="E12" s="75"/>
      <c r="F12" s="75"/>
      <c r="G12" s="76"/>
      <c r="H12" s="76"/>
    </row>
    <row r="13" spans="1:12">
      <c r="B13" s="75" t="s">
        <v>125</v>
      </c>
      <c r="C13" s="98">
        <v>69</v>
      </c>
      <c r="D13" s="2" t="s">
        <v>111</v>
      </c>
      <c r="E13" s="75"/>
      <c r="F13" s="75"/>
      <c r="G13" s="76"/>
      <c r="H13" s="76"/>
    </row>
    <row r="14" spans="1:12">
      <c r="B14" s="88" t="s">
        <v>124</v>
      </c>
      <c r="C14" s="98">
        <f>E79</f>
        <v>68</v>
      </c>
      <c r="D14" s="2" t="s">
        <v>111</v>
      </c>
      <c r="E14" s="75"/>
      <c r="F14" s="77"/>
      <c r="G14" s="77"/>
    </row>
    <row r="15" spans="1:12" ht="27" customHeight="1">
      <c r="B15" s="88" t="s">
        <v>110</v>
      </c>
      <c r="C15" s="98">
        <f>F79</f>
        <v>60</v>
      </c>
      <c r="D15" s="2" t="s">
        <v>112</v>
      </c>
      <c r="E15" s="75"/>
      <c r="F15" s="77"/>
      <c r="G15" s="77"/>
    </row>
    <row r="16" spans="1:12" ht="25.5">
      <c r="B16" s="75" t="s">
        <v>109</v>
      </c>
      <c r="C16" s="98">
        <f>H79</f>
        <v>57</v>
      </c>
      <c r="D16" s="2" t="s">
        <v>112</v>
      </c>
      <c r="E16" s="75"/>
      <c r="F16" s="77"/>
      <c r="G16" s="77"/>
    </row>
    <row r="17" spans="1:14" ht="25.5" customHeight="1">
      <c r="B17" s="75" t="s">
        <v>78</v>
      </c>
      <c r="C17" s="98">
        <f>-N213</f>
        <v>76</v>
      </c>
      <c r="D17" s="87" t="s">
        <v>113</v>
      </c>
      <c r="E17" s="83"/>
      <c r="F17" s="83"/>
      <c r="G17" s="83"/>
      <c r="H17" s="83"/>
      <c r="I17" s="83"/>
      <c r="J17" s="88"/>
      <c r="N17" s="67"/>
    </row>
    <row r="18" spans="1:14" ht="25.5" customHeight="1">
      <c r="B18" s="75" t="s">
        <v>79</v>
      </c>
      <c r="C18" s="98">
        <f>I77</f>
        <v>92</v>
      </c>
      <c r="D18" s="87" t="s">
        <v>114</v>
      </c>
      <c r="E18" s="83"/>
      <c r="F18" s="83"/>
      <c r="G18" s="83"/>
      <c r="H18" s="88"/>
      <c r="I18" s="88"/>
    </row>
    <row r="19" spans="1:14" ht="11.25" customHeight="1">
      <c r="B19" s="78"/>
      <c r="C19" s="79"/>
      <c r="D19" s="79"/>
      <c r="E19" s="79"/>
      <c r="F19" s="79"/>
      <c r="G19" s="77"/>
      <c r="H19" s="77"/>
    </row>
    <row r="20" spans="1:14" ht="16.5" customHeight="1">
      <c r="A20" s="14" t="s">
        <v>105</v>
      </c>
      <c r="B20" s="115" t="s">
        <v>19</v>
      </c>
      <c r="C20" s="115"/>
      <c r="D20" s="115"/>
      <c r="E20" s="115"/>
      <c r="F20" s="115"/>
      <c r="G20" s="115"/>
      <c r="H20" s="115"/>
      <c r="I20" s="115"/>
    </row>
    <row r="21" spans="1:14" ht="16.5" customHeight="1">
      <c r="A21" s="14"/>
      <c r="B21" s="115" t="s">
        <v>116</v>
      </c>
      <c r="C21" s="115"/>
      <c r="D21" s="115"/>
      <c r="E21" s="115"/>
      <c r="F21" s="115"/>
      <c r="G21" s="115"/>
      <c r="H21" s="115"/>
      <c r="I21" s="115"/>
    </row>
    <row r="22" spans="1:14" ht="12.75" customHeight="1"/>
    <row r="23" spans="1:14" ht="21.75" customHeight="1">
      <c r="B23" s="122" t="s">
        <v>128</v>
      </c>
      <c r="C23" s="122"/>
      <c r="D23" s="122"/>
      <c r="E23" s="122"/>
      <c r="F23" s="122"/>
      <c r="G23" s="122"/>
      <c r="H23" s="122"/>
      <c r="I23" s="122"/>
    </row>
    <row r="24" spans="1:14" ht="60" customHeight="1">
      <c r="B24" s="122" t="s">
        <v>132</v>
      </c>
      <c r="C24" s="122"/>
      <c r="D24" s="122"/>
      <c r="E24" s="122"/>
      <c r="F24" s="122"/>
      <c r="G24" s="122"/>
      <c r="H24" s="122"/>
      <c r="I24" s="122"/>
    </row>
    <row r="25" spans="1:14">
      <c r="A25" s="14" t="s">
        <v>103</v>
      </c>
      <c r="B25" s="105" t="s">
        <v>119</v>
      </c>
      <c r="C25" s="105"/>
      <c r="D25" s="105"/>
      <c r="E25" s="105"/>
      <c r="F25" s="105"/>
      <c r="G25" s="105"/>
      <c r="H25" s="105"/>
      <c r="I25" s="105"/>
    </row>
    <row r="26" spans="1:14" ht="11.25" customHeight="1">
      <c r="B26" s="90"/>
      <c r="C26" s="91"/>
      <c r="D26" s="91"/>
      <c r="E26" s="91"/>
      <c r="F26" s="91"/>
      <c r="G26" s="91"/>
      <c r="H26" s="91"/>
      <c r="I26" s="91"/>
    </row>
    <row r="27" spans="1:14" ht="53.25" customHeight="1">
      <c r="B27" s="110" t="s">
        <v>120</v>
      </c>
      <c r="C27" s="110"/>
      <c r="D27" s="110"/>
      <c r="E27" s="110"/>
      <c r="F27" s="110"/>
      <c r="G27" s="110"/>
      <c r="H27" s="110"/>
      <c r="I27" s="110"/>
    </row>
    <row r="28" spans="1:14" ht="11.25" customHeight="1">
      <c r="B28" s="91"/>
      <c r="C28" s="91"/>
      <c r="D28" s="91"/>
      <c r="E28" s="91"/>
      <c r="F28" s="91"/>
      <c r="G28" s="91"/>
      <c r="H28" s="91"/>
      <c r="I28" s="91"/>
    </row>
    <row r="29" spans="1:14" ht="16.5" customHeight="1">
      <c r="A29" s="14" t="s">
        <v>104</v>
      </c>
      <c r="B29" s="105" t="s">
        <v>89</v>
      </c>
      <c r="C29" s="105"/>
      <c r="D29" s="105"/>
      <c r="E29" s="105"/>
      <c r="F29" s="105"/>
      <c r="G29" s="105"/>
      <c r="H29" s="105"/>
      <c r="I29" s="105"/>
      <c r="L29" s="62"/>
    </row>
    <row r="30" spans="1:14" ht="10.5" customHeight="1">
      <c r="B30" s="92"/>
      <c r="C30" s="89"/>
      <c r="D30" s="89"/>
      <c r="E30" s="89"/>
      <c r="F30" s="89"/>
      <c r="G30" s="89"/>
      <c r="H30" s="89"/>
      <c r="I30" s="89"/>
    </row>
    <row r="31" spans="1:14" ht="27" customHeight="1">
      <c r="B31" s="110" t="s">
        <v>118</v>
      </c>
      <c r="C31" s="110"/>
      <c r="D31" s="110"/>
      <c r="E31" s="110"/>
      <c r="F31" s="110"/>
      <c r="G31" s="110"/>
      <c r="H31" s="110"/>
      <c r="I31" s="110"/>
    </row>
    <row r="32" spans="1:14" ht="10.5" customHeight="1">
      <c r="B32" s="91"/>
      <c r="C32" s="91"/>
      <c r="D32" s="91"/>
      <c r="E32" s="91"/>
      <c r="F32" s="91"/>
      <c r="G32" s="91"/>
      <c r="H32" s="91"/>
      <c r="I32" s="91"/>
    </row>
    <row r="33" spans="1:9" ht="16.5" customHeight="1">
      <c r="A33" s="14" t="s">
        <v>87</v>
      </c>
      <c r="B33" s="105" t="s">
        <v>44</v>
      </c>
      <c r="C33" s="105"/>
      <c r="D33" s="105"/>
      <c r="E33" s="105"/>
      <c r="F33" s="105"/>
      <c r="G33" s="105"/>
      <c r="H33" s="105"/>
      <c r="I33" s="105"/>
    </row>
    <row r="34" spans="1:9" ht="10.5" customHeight="1">
      <c r="B34" s="92"/>
      <c r="C34" s="89"/>
      <c r="D34" s="89"/>
      <c r="E34" s="89"/>
      <c r="F34" s="89"/>
      <c r="G34" s="89"/>
      <c r="H34" s="89"/>
      <c r="I34" s="89"/>
    </row>
    <row r="35" spans="1:9" ht="27" customHeight="1">
      <c r="B35" s="123" t="s">
        <v>131</v>
      </c>
      <c r="C35" s="123"/>
      <c r="D35" s="123"/>
      <c r="E35" s="123"/>
      <c r="F35" s="123"/>
      <c r="G35" s="123"/>
      <c r="H35" s="123"/>
      <c r="I35" s="123"/>
    </row>
    <row r="36" spans="1:9" ht="10.5" customHeight="1">
      <c r="B36" s="90"/>
      <c r="C36" s="91"/>
      <c r="D36" s="91"/>
      <c r="E36" s="91"/>
      <c r="F36" s="91"/>
      <c r="G36" s="91"/>
      <c r="H36" s="91"/>
      <c r="I36" s="91"/>
    </row>
    <row r="37" spans="1:9" ht="17.25" customHeight="1">
      <c r="A37" s="14" t="s">
        <v>88</v>
      </c>
      <c r="B37" s="105" t="s">
        <v>45</v>
      </c>
      <c r="C37" s="105"/>
      <c r="D37" s="105"/>
      <c r="E37" s="105"/>
      <c r="F37" s="105"/>
      <c r="G37" s="105"/>
      <c r="H37" s="105"/>
      <c r="I37" s="105"/>
    </row>
    <row r="38" spans="1:9" ht="12.75" customHeight="1">
      <c r="A38" s="14"/>
      <c r="B38" s="92"/>
      <c r="C38" s="89"/>
      <c r="D38" s="89"/>
      <c r="E38" s="89"/>
      <c r="F38" s="89"/>
      <c r="G38" s="89"/>
      <c r="H38" s="89"/>
      <c r="I38" s="89"/>
    </row>
    <row r="39" spans="1:9" ht="27.75" customHeight="1">
      <c r="A39" s="14"/>
      <c r="B39" s="122" t="s">
        <v>129</v>
      </c>
      <c r="C39" s="122"/>
      <c r="D39" s="122"/>
      <c r="E39" s="122"/>
      <c r="F39" s="122"/>
      <c r="G39" s="122"/>
      <c r="H39" s="122"/>
      <c r="I39" s="122"/>
    </row>
    <row r="40" spans="1:9" ht="10.5" customHeight="1">
      <c r="A40" s="14"/>
      <c r="B40" s="97"/>
      <c r="C40" s="97"/>
      <c r="D40" s="97"/>
      <c r="E40" s="97"/>
      <c r="F40" s="97"/>
      <c r="G40" s="97"/>
      <c r="H40" s="97"/>
      <c r="I40" s="97"/>
    </row>
    <row r="41" spans="1:9">
      <c r="A41" s="14" t="s">
        <v>47</v>
      </c>
      <c r="B41" s="20" t="s">
        <v>2</v>
      </c>
    </row>
    <row r="42" spans="1:9" ht="13.5" customHeight="1">
      <c r="A42" s="19"/>
      <c r="B42" s="20"/>
    </row>
    <row r="43" spans="1:9" ht="15" customHeight="1">
      <c r="B43" s="110" t="s">
        <v>3</v>
      </c>
      <c r="C43" s="110"/>
      <c r="D43" s="110"/>
      <c r="E43" s="110"/>
      <c r="F43" s="110"/>
      <c r="G43" s="91"/>
    </row>
    <row r="44" spans="1:9" ht="8.25" customHeight="1">
      <c r="B44" s="91"/>
      <c r="C44" s="91"/>
      <c r="D44" s="91"/>
      <c r="E44" s="91"/>
      <c r="F44" s="91"/>
      <c r="G44" s="91"/>
    </row>
    <row r="45" spans="1:9" ht="30" customHeight="1">
      <c r="A45" s="14" t="s">
        <v>4</v>
      </c>
      <c r="B45" s="110" t="s">
        <v>99</v>
      </c>
      <c r="C45" s="110"/>
      <c r="D45" s="110"/>
      <c r="E45" s="110"/>
      <c r="F45" s="110"/>
      <c r="G45" s="110"/>
      <c r="H45" s="110"/>
      <c r="I45" s="110"/>
    </row>
    <row r="46" spans="1:9" ht="8.25" customHeight="1"/>
    <row r="47" spans="1:9" ht="33" customHeight="1">
      <c r="A47" s="14" t="s">
        <v>5</v>
      </c>
      <c r="B47" s="110" t="s">
        <v>20</v>
      </c>
      <c r="C47" s="110"/>
      <c r="D47" s="110"/>
      <c r="E47" s="110"/>
      <c r="F47" s="110"/>
      <c r="G47" s="110"/>
      <c r="H47" s="110"/>
      <c r="I47" s="110"/>
    </row>
    <row r="48" spans="1:9" ht="8.25" customHeight="1"/>
    <row r="49" spans="1:11" ht="51" customHeight="1">
      <c r="A49" s="14" t="s">
        <v>48</v>
      </c>
      <c r="B49" s="110" t="s">
        <v>74</v>
      </c>
      <c r="C49" s="110"/>
      <c r="D49" s="110"/>
      <c r="E49" s="110"/>
      <c r="F49" s="110"/>
      <c r="G49" s="110"/>
      <c r="H49" s="110"/>
      <c r="I49" s="110"/>
    </row>
    <row r="50" spans="1:11" ht="11.45" customHeight="1">
      <c r="A50" s="14"/>
      <c r="B50" s="91"/>
      <c r="C50" s="91"/>
      <c r="D50" s="91"/>
      <c r="E50" s="91"/>
      <c r="F50" s="91"/>
      <c r="G50" s="91"/>
      <c r="H50" s="91"/>
      <c r="I50" s="91"/>
    </row>
    <row r="51" spans="1:11" ht="26.25" customHeight="1">
      <c r="A51" s="84" t="s">
        <v>100</v>
      </c>
      <c r="B51" s="124" t="s">
        <v>69</v>
      </c>
      <c r="C51" s="124"/>
      <c r="D51" s="124"/>
      <c r="E51" s="124"/>
      <c r="F51" s="124"/>
      <c r="G51" s="124"/>
      <c r="H51" s="124"/>
      <c r="I51" s="124"/>
      <c r="J51" s="124"/>
    </row>
    <row r="52" spans="1:11" ht="9" customHeight="1"/>
    <row r="53" spans="1:11" ht="29.25" customHeight="1">
      <c r="B53" s="110" t="s">
        <v>26</v>
      </c>
      <c r="C53" s="110"/>
      <c r="D53" s="110"/>
      <c r="E53" s="110"/>
      <c r="F53" s="110"/>
      <c r="G53" s="110"/>
      <c r="H53" s="110"/>
      <c r="I53" s="110"/>
    </row>
    <row r="54" spans="1:11" ht="24">
      <c r="E54" s="60" t="s">
        <v>80</v>
      </c>
      <c r="F54" s="60" t="s">
        <v>41</v>
      </c>
      <c r="G54" s="60" t="s">
        <v>42</v>
      </c>
      <c r="H54" s="60" t="s">
        <v>1</v>
      </c>
      <c r="I54" s="29"/>
      <c r="K54" s="30"/>
    </row>
    <row r="55" spans="1:11">
      <c r="E55" s="31" t="s">
        <v>7</v>
      </c>
      <c r="F55" s="31" t="s">
        <v>7</v>
      </c>
      <c r="G55" s="31" t="s">
        <v>7</v>
      </c>
      <c r="H55" s="31" t="s">
        <v>7</v>
      </c>
      <c r="I55" s="95"/>
      <c r="K55" s="32"/>
    </row>
    <row r="56" spans="1:11" ht="6" customHeight="1"/>
    <row r="57" spans="1:11" ht="18" customHeight="1">
      <c r="B57" s="115" t="s">
        <v>30</v>
      </c>
      <c r="C57" s="106"/>
      <c r="D57" s="106"/>
      <c r="E57" s="18"/>
      <c r="F57" s="18"/>
      <c r="G57" s="18"/>
      <c r="H57" s="18"/>
      <c r="I57" s="18"/>
    </row>
    <row r="58" spans="1:11" ht="6" customHeight="1">
      <c r="B58" s="33"/>
      <c r="E58" s="18"/>
      <c r="F58" s="18"/>
      <c r="G58" s="18"/>
      <c r="H58" s="18"/>
      <c r="I58" s="18"/>
    </row>
    <row r="59" spans="1:11">
      <c r="B59" s="110" t="s">
        <v>31</v>
      </c>
      <c r="C59" s="110"/>
      <c r="D59" s="110"/>
      <c r="E59" s="70">
        <v>51.927</v>
      </c>
      <c r="F59" s="99">
        <v>44.631</v>
      </c>
      <c r="G59" s="99">
        <v>44.862000000000002</v>
      </c>
      <c r="H59" s="70">
        <v>41.911999999999999</v>
      </c>
      <c r="I59" s="18"/>
      <c r="J59" s="34"/>
    </row>
    <row r="60" spans="1:11" ht="6.75" customHeight="1">
      <c r="B60" s="33"/>
      <c r="E60" s="70"/>
      <c r="I60" s="18"/>
    </row>
    <row r="61" spans="1:11" ht="15" customHeight="1">
      <c r="B61" s="110" t="s">
        <v>32</v>
      </c>
      <c r="C61" s="110"/>
      <c r="D61" s="110"/>
      <c r="E61" s="70">
        <v>15.154999999999999</v>
      </c>
      <c r="F61" s="70">
        <v>14.576000000000001</v>
      </c>
      <c r="G61" s="70">
        <v>14.696</v>
      </c>
      <c r="H61" s="70">
        <v>14.577999999999999</v>
      </c>
      <c r="I61" s="18"/>
      <c r="J61" s="34"/>
    </row>
    <row r="62" spans="1:11" ht="6.75" customHeight="1">
      <c r="B62" s="91"/>
      <c r="C62" s="91"/>
      <c r="D62" s="91"/>
      <c r="E62" s="18"/>
      <c r="F62" s="17"/>
      <c r="G62" s="17"/>
      <c r="H62" s="18"/>
      <c r="I62" s="18"/>
    </row>
    <row r="63" spans="1:11" ht="30.75" customHeight="1" thickBot="1">
      <c r="B63" s="105" t="s">
        <v>122</v>
      </c>
      <c r="C63" s="106"/>
      <c r="D63" s="106"/>
      <c r="E63" s="74">
        <f>SUM(E59:E62)</f>
        <v>67.081999999999994</v>
      </c>
      <c r="F63" s="74">
        <f>SUM(F59:F62)</f>
        <v>59.207000000000001</v>
      </c>
      <c r="G63" s="74">
        <f>SUM(G59:G62)</f>
        <v>59.558</v>
      </c>
      <c r="H63" s="74">
        <f>SUM(H59:H62)</f>
        <v>56.489999999999995</v>
      </c>
      <c r="I63" s="24"/>
    </row>
    <row r="64" spans="1:11" ht="12.75" customHeight="1" thickTop="1">
      <c r="B64" s="92"/>
      <c r="C64" s="90"/>
      <c r="D64" s="90"/>
      <c r="E64" s="24"/>
      <c r="F64" s="24"/>
      <c r="G64" s="24"/>
      <c r="H64" s="24"/>
      <c r="I64" s="24"/>
    </row>
    <row r="65" spans="1:14" ht="16.5" customHeight="1">
      <c r="A65" s="84" t="s">
        <v>73</v>
      </c>
      <c r="B65" s="20" t="s">
        <v>49</v>
      </c>
    </row>
    <row r="66" spans="1:14" ht="9" customHeight="1"/>
    <row r="67" spans="1:14" ht="47.25" customHeight="1">
      <c r="A67" s="2"/>
      <c r="E67" s="58" t="s">
        <v>94</v>
      </c>
      <c r="F67" s="59" t="s">
        <v>106</v>
      </c>
      <c r="G67" s="59" t="s">
        <v>107</v>
      </c>
      <c r="H67" s="59" t="s">
        <v>95</v>
      </c>
      <c r="I67" s="59" t="s">
        <v>70</v>
      </c>
      <c r="J67" s="21"/>
      <c r="K67" s="22"/>
    </row>
    <row r="68" spans="1:14" ht="13.5" customHeight="1">
      <c r="A68" s="2"/>
    </row>
    <row r="69" spans="1:14" ht="31.5" customHeight="1">
      <c r="A69" s="2"/>
      <c r="B69" s="103" t="s">
        <v>6</v>
      </c>
      <c r="C69" s="104"/>
      <c r="D69" s="104"/>
    </row>
    <row r="70" spans="1:14" ht="9" customHeight="1">
      <c r="A70" s="2"/>
    </row>
    <row r="71" spans="1:14" ht="44.25" customHeight="1">
      <c r="A71" s="2"/>
      <c r="B71" s="104" t="s">
        <v>126</v>
      </c>
      <c r="C71" s="104"/>
      <c r="D71" s="104"/>
      <c r="E71" s="23">
        <f>E63</f>
        <v>67.081999999999994</v>
      </c>
      <c r="F71" s="23">
        <f t="shared" ref="F71:H71" si="0">F63</f>
        <v>59.207000000000001</v>
      </c>
      <c r="G71" s="23">
        <f t="shared" si="0"/>
        <v>59.558</v>
      </c>
      <c r="H71" s="23">
        <f t="shared" si="0"/>
        <v>56.489999999999995</v>
      </c>
      <c r="I71" s="17" t="s">
        <v>75</v>
      </c>
      <c r="L71" s="73"/>
      <c r="M71" s="73"/>
    </row>
    <row r="72" spans="1:14" ht="7.5" customHeight="1">
      <c r="A72" s="2"/>
    </row>
    <row r="73" spans="1:14" ht="30" customHeight="1">
      <c r="A73" s="2"/>
      <c r="B73" s="104" t="s">
        <v>130</v>
      </c>
      <c r="C73" s="104"/>
      <c r="D73" s="104"/>
      <c r="E73" s="70">
        <v>2294.1547418785331</v>
      </c>
      <c r="F73" s="85">
        <v>2305.5756935661516</v>
      </c>
      <c r="G73" s="85">
        <v>2305.5756935661516</v>
      </c>
      <c r="H73" s="70">
        <v>18.331858270055239</v>
      </c>
      <c r="I73" s="18"/>
      <c r="K73" s="63"/>
      <c r="L73" s="63"/>
    </row>
    <row r="74" spans="1:14" ht="7.5" customHeight="1">
      <c r="A74" s="2"/>
      <c r="K74" s="66"/>
    </row>
    <row r="75" spans="1:14" ht="31.5" customHeight="1">
      <c r="A75" s="2"/>
      <c r="B75" s="103" t="s">
        <v>33</v>
      </c>
      <c r="C75" s="104"/>
      <c r="D75" s="104"/>
      <c r="E75" s="25" t="s">
        <v>7</v>
      </c>
      <c r="F75" s="25" t="s">
        <v>7</v>
      </c>
      <c r="G75" s="25" t="s">
        <v>7</v>
      </c>
      <c r="H75" s="25" t="s">
        <v>7</v>
      </c>
      <c r="I75" s="25"/>
      <c r="N75" s="88"/>
    </row>
    <row r="76" spans="1:14" ht="6" customHeight="1">
      <c r="A76" s="2"/>
    </row>
    <row r="77" spans="1:14" ht="38.25" customHeight="1">
      <c r="A77" s="2"/>
      <c r="B77" s="104" t="s">
        <v>29</v>
      </c>
      <c r="C77" s="104"/>
      <c r="D77" s="104"/>
      <c r="E77" s="23">
        <f>ROUNDUP(E71,0)</f>
        <v>68</v>
      </c>
      <c r="F77" s="23">
        <f>ROUNDUP(F71,0)</f>
        <v>60</v>
      </c>
      <c r="G77" s="23">
        <f>ROUND(G71,0)</f>
        <v>60</v>
      </c>
      <c r="H77" s="23">
        <f>ROUNDUP(H71,0)</f>
        <v>57</v>
      </c>
      <c r="I77" s="99">
        <v>92</v>
      </c>
      <c r="J77" s="23"/>
      <c r="K77" s="23"/>
    </row>
    <row r="78" spans="1:14" ht="7.5" customHeight="1">
      <c r="A78" s="2"/>
      <c r="B78" s="88"/>
      <c r="C78" s="88"/>
      <c r="D78" s="88"/>
      <c r="E78" s="23"/>
      <c r="F78" s="23"/>
      <c r="G78" s="23"/>
      <c r="H78" s="17"/>
      <c r="I78" s="17"/>
      <c r="J78" s="23"/>
      <c r="K78" s="23"/>
    </row>
    <row r="79" spans="1:14" ht="21" customHeight="1" thickBot="1">
      <c r="B79" s="20" t="s">
        <v>25</v>
      </c>
      <c r="E79" s="26">
        <f>SUM(E77:E78)</f>
        <v>68</v>
      </c>
      <c r="F79" s="26">
        <f>SUM(F77:F78)</f>
        <v>60</v>
      </c>
      <c r="G79" s="26">
        <f>SUM(G77:G78)</f>
        <v>60</v>
      </c>
      <c r="H79" s="26">
        <f>SUM(H77:H78)</f>
        <v>57</v>
      </c>
      <c r="I79" s="26">
        <f>SUM(I77:I78)</f>
        <v>92</v>
      </c>
      <c r="K79" s="18"/>
    </row>
    <row r="80" spans="1:14" ht="21" customHeight="1" thickTop="1">
      <c r="B80" s="20"/>
      <c r="E80" s="27"/>
      <c r="F80" s="27"/>
      <c r="G80" s="27"/>
      <c r="H80" s="27"/>
    </row>
    <row r="81" spans="1:9" ht="18" customHeight="1">
      <c r="A81" s="84" t="s">
        <v>53</v>
      </c>
      <c r="B81" s="20" t="s">
        <v>39</v>
      </c>
      <c r="E81" s="27"/>
      <c r="F81" s="27"/>
      <c r="G81" s="27"/>
      <c r="H81" s="27"/>
      <c r="I81" s="27"/>
    </row>
    <row r="82" spans="1:9" ht="18" customHeight="1">
      <c r="B82" s="20"/>
      <c r="E82" s="27"/>
      <c r="F82" s="27"/>
      <c r="G82" s="27"/>
      <c r="H82" s="27"/>
      <c r="I82" s="27"/>
    </row>
    <row r="83" spans="1:9" ht="18" customHeight="1">
      <c r="B83" s="110" t="s">
        <v>40</v>
      </c>
      <c r="C83" s="110"/>
      <c r="D83" s="110"/>
      <c r="E83" s="110"/>
      <c r="F83" s="110"/>
      <c r="G83" s="110"/>
      <c r="H83" s="110"/>
      <c r="I83" s="110"/>
    </row>
    <row r="84" spans="1:9" ht="18" customHeight="1">
      <c r="B84" s="91"/>
      <c r="C84" s="91"/>
      <c r="D84" s="91"/>
      <c r="E84" s="91"/>
      <c r="F84" s="91"/>
      <c r="G84" s="91"/>
      <c r="H84" s="91"/>
      <c r="I84" s="91"/>
    </row>
    <row r="85" spans="1:9">
      <c r="A85" s="14" t="s">
        <v>90</v>
      </c>
      <c r="B85" s="20" t="s">
        <v>77</v>
      </c>
    </row>
    <row r="86" spans="1:9" ht="18" customHeight="1">
      <c r="B86" s="20" t="s">
        <v>76</v>
      </c>
      <c r="C86" s="90"/>
      <c r="D86" s="90"/>
      <c r="E86" s="24"/>
      <c r="F86" s="24"/>
      <c r="G86" s="24"/>
      <c r="H86" s="24"/>
      <c r="I86" s="24"/>
    </row>
    <row r="87" spans="1:9" ht="18" customHeight="1">
      <c r="B87" s="20" t="s">
        <v>127</v>
      </c>
      <c r="C87" s="90"/>
      <c r="D87" s="90"/>
      <c r="E87" s="24"/>
      <c r="F87" s="24"/>
      <c r="G87" s="24"/>
      <c r="H87" s="24"/>
      <c r="I87" s="24"/>
    </row>
    <row r="88" spans="1:9" ht="6" customHeight="1">
      <c r="B88" s="92"/>
      <c r="C88" s="90"/>
      <c r="D88" s="90"/>
      <c r="E88" s="24"/>
      <c r="F88" s="24"/>
      <c r="G88" s="24"/>
      <c r="H88" s="24"/>
      <c r="I88" s="24"/>
    </row>
    <row r="89" spans="1:9" ht="15" customHeight="1">
      <c r="F89" s="35"/>
      <c r="G89" s="36"/>
      <c r="H89" s="36"/>
      <c r="I89" s="37"/>
    </row>
    <row r="90" spans="1:9" ht="15" customHeight="1">
      <c r="E90" s="28" t="s">
        <v>55</v>
      </c>
      <c r="F90" s="28" t="s">
        <v>57</v>
      </c>
      <c r="G90" s="29"/>
      <c r="H90" s="36"/>
      <c r="I90" s="96"/>
    </row>
    <row r="91" spans="1:9" ht="15" customHeight="1">
      <c r="B91" s="113" t="s">
        <v>54</v>
      </c>
      <c r="C91" s="114"/>
      <c r="D91" s="114"/>
      <c r="E91" s="31" t="s">
        <v>56</v>
      </c>
      <c r="F91" s="31" t="s">
        <v>58</v>
      </c>
      <c r="G91" s="96"/>
    </row>
    <row r="92" spans="1:9" ht="15" customHeight="1">
      <c r="B92" s="115"/>
      <c r="C92" s="106"/>
      <c r="D92" s="106"/>
      <c r="E92" s="18"/>
      <c r="F92" s="18"/>
      <c r="G92" s="18"/>
      <c r="H92" s="18"/>
      <c r="I92" s="18"/>
    </row>
    <row r="93" spans="1:9" ht="15" customHeight="1">
      <c r="B93" s="33"/>
      <c r="E93" s="18"/>
      <c r="F93" s="18"/>
      <c r="G93" s="18"/>
      <c r="H93" s="18"/>
      <c r="I93" s="18"/>
    </row>
    <row r="94" spans="1:9" ht="15" customHeight="1">
      <c r="B94" s="110" t="s">
        <v>59</v>
      </c>
      <c r="C94" s="110"/>
      <c r="D94" s="110"/>
      <c r="E94" s="86">
        <v>654.22933333333333</v>
      </c>
      <c r="F94" s="86">
        <v>654.22933333333333</v>
      </c>
      <c r="G94" s="23"/>
      <c r="I94" s="18"/>
    </row>
    <row r="95" spans="1:9" ht="6" customHeight="1">
      <c r="B95" s="33"/>
      <c r="E95" s="38"/>
      <c r="F95" s="38"/>
      <c r="G95" s="24"/>
      <c r="I95" s="18"/>
    </row>
    <row r="96" spans="1:9" ht="15" customHeight="1">
      <c r="B96" s="110" t="s">
        <v>60</v>
      </c>
      <c r="C96" s="110"/>
      <c r="D96" s="110"/>
      <c r="E96" s="38">
        <v>38.456319999999998</v>
      </c>
      <c r="F96" s="39">
        <v>182.29500000000002</v>
      </c>
      <c r="G96" s="23"/>
      <c r="I96" s="18"/>
    </row>
    <row r="97" spans="1:9" ht="6" customHeight="1">
      <c r="B97" s="91"/>
      <c r="C97" s="91"/>
      <c r="D97" s="91"/>
      <c r="E97" s="39"/>
      <c r="F97" s="39"/>
      <c r="G97" s="23"/>
      <c r="I97" s="18"/>
    </row>
    <row r="98" spans="1:9" ht="15" customHeight="1">
      <c r="B98" s="110" t="s">
        <v>61</v>
      </c>
      <c r="C98" s="110"/>
      <c r="D98" s="110"/>
      <c r="E98" s="39">
        <v>380.59067340000001</v>
      </c>
      <c r="F98" s="39">
        <v>380.59100000000001</v>
      </c>
      <c r="G98" s="23"/>
      <c r="I98" s="18"/>
    </row>
    <row r="99" spans="1:9" ht="6" customHeight="1">
      <c r="B99" s="91"/>
      <c r="C99" s="91"/>
      <c r="D99" s="91"/>
      <c r="E99" s="39"/>
      <c r="F99" s="39"/>
      <c r="G99" s="23"/>
      <c r="I99" s="18"/>
    </row>
    <row r="100" spans="1:9" ht="15" customHeight="1">
      <c r="A100" s="2"/>
      <c r="B100" s="110" t="s">
        <v>62</v>
      </c>
      <c r="C100" s="110"/>
      <c r="D100" s="110"/>
      <c r="E100" s="39">
        <v>28.849438800000001</v>
      </c>
      <c r="F100" s="39">
        <v>28.848999999999997</v>
      </c>
      <c r="G100" s="23"/>
      <c r="I100" s="18"/>
    </row>
    <row r="101" spans="1:9" ht="6" customHeight="1">
      <c r="B101" s="33"/>
      <c r="E101" s="39"/>
      <c r="F101" s="38"/>
      <c r="G101" s="24"/>
      <c r="I101" s="18"/>
    </row>
    <row r="102" spans="1:9" ht="15" customHeight="1">
      <c r="B102" s="110" t="s">
        <v>63</v>
      </c>
      <c r="C102" s="110"/>
      <c r="D102" s="110"/>
      <c r="E102" s="39">
        <v>140.3262</v>
      </c>
      <c r="F102" s="39">
        <v>140.32599999999999</v>
      </c>
      <c r="G102" s="23"/>
      <c r="I102" s="18"/>
    </row>
    <row r="103" spans="1:9" ht="6" customHeight="1">
      <c r="B103" s="91"/>
      <c r="C103" s="91"/>
      <c r="D103" s="91"/>
      <c r="E103" s="39"/>
      <c r="F103" s="39"/>
      <c r="G103" s="23"/>
      <c r="I103" s="18"/>
    </row>
    <row r="104" spans="1:9">
      <c r="B104" s="110" t="s">
        <v>64</v>
      </c>
      <c r="C104" s="110"/>
      <c r="D104" s="110"/>
      <c r="E104" s="39">
        <v>179.3057</v>
      </c>
      <c r="F104" s="40">
        <v>179.30599999999998</v>
      </c>
      <c r="G104" s="23"/>
      <c r="I104" s="18"/>
    </row>
    <row r="105" spans="1:9" ht="6" customHeight="1">
      <c r="B105" s="33"/>
      <c r="E105" s="41"/>
      <c r="F105" s="42"/>
      <c r="G105" s="24"/>
      <c r="I105" s="18"/>
    </row>
    <row r="106" spans="1:9" ht="15" customHeight="1" thickBot="1">
      <c r="B106" s="110" t="s">
        <v>65</v>
      </c>
      <c r="C106" s="110"/>
      <c r="D106" s="110"/>
      <c r="E106" s="43">
        <f>SUM(E94:E104)</f>
        <v>1421.7576655333332</v>
      </c>
      <c r="F106" s="44">
        <f>SUM(F94:F104)</f>
        <v>1565.5963333333332</v>
      </c>
      <c r="G106" s="23"/>
      <c r="I106" s="18"/>
    </row>
    <row r="107" spans="1:9" ht="6" customHeight="1" thickTop="1">
      <c r="B107" s="91"/>
      <c r="C107" s="91"/>
      <c r="D107" s="91"/>
      <c r="E107" s="45"/>
      <c r="F107" s="45"/>
      <c r="G107" s="23"/>
      <c r="I107" s="18"/>
    </row>
    <row r="108" spans="1:9" ht="15" customHeight="1">
      <c r="B108" s="110" t="s">
        <v>72</v>
      </c>
      <c r="C108" s="110"/>
      <c r="D108" s="110"/>
      <c r="E108" s="39">
        <f>E106*15%</f>
        <v>213.26364982999999</v>
      </c>
      <c r="F108" s="39">
        <f>F106*15%</f>
        <v>234.83944999999997</v>
      </c>
      <c r="G108" s="23"/>
      <c r="I108" s="18"/>
    </row>
    <row r="109" spans="1:9" ht="6" customHeight="1">
      <c r="B109" s="91"/>
      <c r="C109" s="91"/>
      <c r="D109" s="91"/>
      <c r="E109" s="39"/>
      <c r="F109" s="39"/>
      <c r="G109" s="23"/>
      <c r="I109" s="18"/>
    </row>
    <row r="110" spans="1:9" ht="15" customHeight="1" thickBot="1">
      <c r="B110" s="110" t="s">
        <v>66</v>
      </c>
      <c r="C110" s="110"/>
      <c r="D110" s="110"/>
      <c r="E110" s="46">
        <f>E106+E108</f>
        <v>1635.0213153633333</v>
      </c>
      <c r="F110" s="46">
        <f>F106+F108</f>
        <v>1800.4357833333331</v>
      </c>
      <c r="G110" s="23"/>
      <c r="I110" s="18"/>
    </row>
    <row r="111" spans="1:9" ht="6" customHeight="1" thickTop="1">
      <c r="B111" s="91"/>
      <c r="C111" s="91"/>
      <c r="D111" s="91"/>
      <c r="E111" s="39"/>
      <c r="F111" s="39"/>
      <c r="G111" s="23"/>
      <c r="I111" s="18"/>
    </row>
    <row r="112" spans="1:9" ht="15" customHeight="1">
      <c r="B112" s="110" t="s">
        <v>67</v>
      </c>
      <c r="C112" s="110"/>
      <c r="D112" s="110"/>
      <c r="E112" s="39">
        <f>E110*14%</f>
        <v>228.90298415086667</v>
      </c>
      <c r="F112" s="39">
        <f>F110*14%</f>
        <v>252.06100966666665</v>
      </c>
      <c r="G112" s="23"/>
      <c r="I112" s="18"/>
    </row>
    <row r="113" spans="1:9" ht="6" customHeight="1">
      <c r="B113" s="91"/>
      <c r="C113" s="91"/>
      <c r="D113" s="91"/>
      <c r="E113" s="39"/>
      <c r="F113" s="39"/>
      <c r="G113" s="23"/>
      <c r="I113" s="18"/>
    </row>
    <row r="114" spans="1:9" ht="31.5" customHeight="1" thickBot="1">
      <c r="B114" s="111" t="s">
        <v>68</v>
      </c>
      <c r="C114" s="111"/>
      <c r="D114" s="112"/>
      <c r="E114" s="81">
        <v>1864</v>
      </c>
      <c r="F114" s="81">
        <v>2052</v>
      </c>
      <c r="G114" s="27"/>
      <c r="H114" s="71"/>
      <c r="I114" s="24"/>
    </row>
    <row r="115" spans="1:9" ht="15.75" customHeight="1" thickTop="1">
      <c r="B115" s="47"/>
      <c r="C115" s="47"/>
      <c r="D115" s="47"/>
      <c r="E115" s="27"/>
      <c r="F115" s="27"/>
      <c r="G115" s="27"/>
      <c r="I115" s="24"/>
    </row>
    <row r="116" spans="1:9" ht="15.75" customHeight="1">
      <c r="B116" s="47"/>
      <c r="C116" s="47"/>
      <c r="D116" s="47"/>
      <c r="E116" s="27"/>
      <c r="F116" s="27"/>
      <c r="G116" s="27"/>
      <c r="I116" s="24"/>
    </row>
    <row r="117" spans="1:9">
      <c r="A117" s="14" t="s">
        <v>121</v>
      </c>
      <c r="B117" s="110" t="s">
        <v>8</v>
      </c>
      <c r="C117" s="110"/>
      <c r="D117" s="110"/>
      <c r="E117" s="110"/>
      <c r="F117" s="110"/>
      <c r="G117" s="110"/>
      <c r="H117" s="110"/>
      <c r="I117" s="110"/>
    </row>
    <row r="118" spans="1:9" ht="11.25" customHeight="1"/>
    <row r="119" spans="1:9">
      <c r="H119" s="20" t="s">
        <v>37</v>
      </c>
    </row>
    <row r="121" spans="1:9">
      <c r="B121" s="109" t="s">
        <v>21</v>
      </c>
      <c r="C121" s="109"/>
      <c r="D121" s="109"/>
      <c r="E121" s="109"/>
      <c r="F121" s="109"/>
      <c r="G121" s="109"/>
      <c r="H121" s="109"/>
      <c r="I121" s="109"/>
    </row>
    <row r="122" spans="1:9" ht="12.75" customHeight="1">
      <c r="B122" s="109" t="s">
        <v>23</v>
      </c>
      <c r="C122" s="109"/>
      <c r="D122" s="109"/>
      <c r="E122" s="109"/>
      <c r="F122" s="109"/>
      <c r="G122" s="109"/>
      <c r="H122" s="109"/>
      <c r="I122" s="109"/>
    </row>
    <row r="123" spans="1:9">
      <c r="B123" s="109" t="s">
        <v>123</v>
      </c>
      <c r="C123" s="109"/>
      <c r="D123" s="109"/>
      <c r="E123" s="109"/>
      <c r="F123" s="109"/>
      <c r="G123" s="109"/>
      <c r="H123" s="109"/>
      <c r="I123" s="109"/>
    </row>
    <row r="124" spans="1:9">
      <c r="B124" s="20"/>
    </row>
    <row r="125" spans="1:9" ht="38.25">
      <c r="C125" s="28" t="s">
        <v>34</v>
      </c>
      <c r="D125" s="28" t="s">
        <v>35</v>
      </c>
      <c r="E125" s="28" t="s">
        <v>50</v>
      </c>
      <c r="F125" s="28" t="s">
        <v>51</v>
      </c>
      <c r="G125" s="28" t="s">
        <v>85</v>
      </c>
      <c r="H125" s="29"/>
    </row>
    <row r="126" spans="1:9" ht="12.75" customHeight="1">
      <c r="C126" s="31" t="s">
        <v>7</v>
      </c>
      <c r="D126" s="31" t="s">
        <v>7</v>
      </c>
      <c r="E126" s="31" t="s">
        <v>7</v>
      </c>
      <c r="F126" s="31" t="s">
        <v>7</v>
      </c>
      <c r="G126" s="31" t="s">
        <v>7</v>
      </c>
      <c r="H126" s="95"/>
    </row>
    <row r="128" spans="1:9">
      <c r="A128" s="2"/>
      <c r="B128" s="2" t="s">
        <v>91</v>
      </c>
      <c r="C128" s="70">
        <f>31+2.5-0.3+2.4</f>
        <v>35.6</v>
      </c>
      <c r="D128" s="70">
        <f>31+2.5-0.3+2.4</f>
        <v>35.6</v>
      </c>
      <c r="E128" s="70">
        <f>61.2+3.5+2.96</f>
        <v>67.66</v>
      </c>
      <c r="F128" s="70">
        <f>61.2+3.5+2.96</f>
        <v>67.66</v>
      </c>
      <c r="G128" s="70">
        <f>61.2+3.5+2.96</f>
        <v>67.66</v>
      </c>
      <c r="H128" s="18"/>
    </row>
    <row r="129" spans="1:10">
      <c r="A129" s="2"/>
      <c r="B129" s="2" t="s">
        <v>81</v>
      </c>
      <c r="C129" s="70">
        <f>17.1+0.3+1.1-0.6</f>
        <v>17.900000000000002</v>
      </c>
      <c r="D129" s="70">
        <f>17.1+0.3+1.1-0.6</f>
        <v>17.900000000000002</v>
      </c>
      <c r="E129" s="70">
        <f>17.1+0.3+1.1-0.6</f>
        <v>17.900000000000002</v>
      </c>
      <c r="F129" s="70">
        <f>17.1+0.3+1.1-0.6</f>
        <v>17.900000000000002</v>
      </c>
      <c r="G129" s="70">
        <f>17.1+0.3+1.1-0.6</f>
        <v>17.900000000000002</v>
      </c>
      <c r="H129" s="18"/>
    </row>
    <row r="130" spans="1:10" ht="12.75" customHeight="1">
      <c r="A130" s="2"/>
      <c r="B130" s="2" t="s">
        <v>82</v>
      </c>
      <c r="C130" s="70">
        <f>11.7+0.9+1.1+3.6</f>
        <v>17.3</v>
      </c>
      <c r="D130" s="70">
        <f>11.7+0.9+1.1+3.6</f>
        <v>17.3</v>
      </c>
      <c r="E130" s="70">
        <f>11.7+0.9+1.1+3.6</f>
        <v>17.3</v>
      </c>
      <c r="F130" s="70">
        <f>11.7+0.9+1.1+3.6</f>
        <v>17.3</v>
      </c>
      <c r="G130" s="70">
        <f>11.7+0.9+1.1+3.6</f>
        <v>17.3</v>
      </c>
      <c r="H130" s="18"/>
    </row>
    <row r="131" spans="1:10">
      <c r="A131" s="2"/>
      <c r="B131" s="2" t="s">
        <v>83</v>
      </c>
      <c r="C131" s="70">
        <f>15-10-5</f>
        <v>0</v>
      </c>
      <c r="D131" s="70">
        <f>15-10-5</f>
        <v>0</v>
      </c>
      <c r="E131" s="70">
        <f>15-10-5</f>
        <v>0</v>
      </c>
      <c r="F131" s="70">
        <f>15-10-5</f>
        <v>0</v>
      </c>
      <c r="G131" s="70">
        <v>7.4</v>
      </c>
      <c r="H131" s="18"/>
    </row>
    <row r="132" spans="1:10" ht="15" customHeight="1">
      <c r="A132" s="2"/>
      <c r="B132" s="2" t="s">
        <v>84</v>
      </c>
      <c r="C132" s="72">
        <f>91.8+3.5+3.9+4.9+35+4.2+7.8+4.6+6+9.8+4.9</f>
        <v>176.40000000000003</v>
      </c>
      <c r="D132" s="72">
        <f>91.8+3.5+3.9+4.9+35+4.2+7.8+4.6+6+9.8+4.9</f>
        <v>176.40000000000003</v>
      </c>
      <c r="E132" s="70">
        <f>15-10-5</f>
        <v>0</v>
      </c>
      <c r="F132" s="70">
        <f>15-10-5</f>
        <v>0</v>
      </c>
      <c r="G132" s="70">
        <f>15-10-5</f>
        <v>0</v>
      </c>
      <c r="H132" s="48"/>
    </row>
    <row r="133" spans="1:10" ht="26.25" customHeight="1">
      <c r="A133" s="2"/>
      <c r="B133" s="49" t="s">
        <v>9</v>
      </c>
      <c r="C133" s="70">
        <f>11.4+0.1+0.8+0.7+0.4+0.3+0.2+0.6+0.9-1.4+1.5+7.4+3.9+2.1+4.2+2.2+5.7+0.5</f>
        <v>41.500000000000007</v>
      </c>
      <c r="D133" s="70">
        <f>11.4+0.1+0.8+0.7+0.4+0.3+0.2+0.6+0.9-1.4+1.5+7.4+3.9+2.1+4.2+2.2+5.7+0.5</f>
        <v>41.500000000000007</v>
      </c>
      <c r="E133" s="70">
        <f>11.4+0.1+0.8+0.7+0.4+0.3+0.2+0.6+0.9-1.4+1.5+7.4+3.9+2.1+4.2+2.2+5.7+0.5</f>
        <v>41.500000000000007</v>
      </c>
      <c r="F133" s="70">
        <f>11.4+0.1+0.8+0.7+0.4+0.3+0.2+0.6+0.9-1.4+1.5+7.4+3.9+2.1+4.2+2.2+5.7+0.5</f>
        <v>41.500000000000007</v>
      </c>
      <c r="G133" s="70">
        <f>48.2+4.5+2.9+1.6+3.5</f>
        <v>60.7</v>
      </c>
      <c r="H133" s="18"/>
      <c r="J133" s="80"/>
    </row>
    <row r="134" spans="1:10" ht="15" customHeight="1">
      <c r="A134" s="2"/>
      <c r="B134" s="2" t="s">
        <v>10</v>
      </c>
      <c r="C134" s="70">
        <f>15-10-5</f>
        <v>0</v>
      </c>
      <c r="D134" s="70">
        <f>15-10-5</f>
        <v>0</v>
      </c>
      <c r="E134" s="70">
        <v>0.01</v>
      </c>
      <c r="F134" s="70">
        <v>0.01</v>
      </c>
      <c r="G134" s="70">
        <f t="shared" ref="G134:G139" si="1">15-10-5</f>
        <v>0</v>
      </c>
      <c r="H134" s="48"/>
    </row>
    <row r="135" spans="1:10" ht="15" customHeight="1">
      <c r="A135" s="2"/>
      <c r="B135" s="2" t="s">
        <v>11</v>
      </c>
      <c r="C135" s="70">
        <f>94.8+6.2+10+5+5+6+23+17.5+10+20+15+12+30.5+30+30</f>
        <v>315</v>
      </c>
      <c r="D135" s="70">
        <f>94.8+6.2+10+5+5+6+23+17.5+10+20+15+12+30.5+30+30</f>
        <v>315</v>
      </c>
      <c r="E135" s="70">
        <f>81+4+10+5+5+6+24+17.5+10+20+15+12+30.5+30+30</f>
        <v>300</v>
      </c>
      <c r="F135" s="70">
        <f>81+4+10+5+5+6+24+17.5+10+20+15+12+30.5+30+30</f>
        <v>300</v>
      </c>
      <c r="G135" s="70">
        <f t="shared" si="1"/>
        <v>0</v>
      </c>
      <c r="H135" s="48"/>
    </row>
    <row r="136" spans="1:10" ht="15" customHeight="1">
      <c r="A136" s="2"/>
      <c r="B136" s="2" t="s">
        <v>12</v>
      </c>
      <c r="C136" s="70">
        <v>4</v>
      </c>
      <c r="D136" s="70">
        <v>4</v>
      </c>
      <c r="E136" s="70">
        <v>4</v>
      </c>
      <c r="F136" s="70">
        <v>4</v>
      </c>
      <c r="G136" s="70">
        <f t="shared" si="1"/>
        <v>0</v>
      </c>
      <c r="H136" s="48"/>
      <c r="I136" s="18"/>
    </row>
    <row r="137" spans="1:10" ht="15" customHeight="1">
      <c r="A137" s="2"/>
      <c r="B137" s="2" t="s">
        <v>13</v>
      </c>
      <c r="C137" s="70">
        <f>16.5+2+3+5+5+5+5+5+17.5+8+8+8+8+8+50+9</f>
        <v>163</v>
      </c>
      <c r="D137" s="70">
        <f>16.5+2+3+5+5+5+5+5+17.5+8+8+8+8+8+50+9</f>
        <v>163</v>
      </c>
      <c r="E137" s="70">
        <f>16.5+2+3+5+5+5+5+5+17.5+8+8+8+8+8+50+9</f>
        <v>163</v>
      </c>
      <c r="F137" s="70">
        <f>16.5+2+3+5+5+5+5+5+17.5+8+8+8+8+8+50+9</f>
        <v>163</v>
      </c>
      <c r="G137" s="70">
        <f t="shared" si="1"/>
        <v>0</v>
      </c>
      <c r="H137" s="48"/>
    </row>
    <row r="138" spans="1:10" ht="25.5" customHeight="1">
      <c r="A138" s="2"/>
      <c r="B138" s="16" t="s">
        <v>46</v>
      </c>
      <c r="C138" s="70">
        <f>0.19-0.04+0.18</f>
        <v>0.32999999999999996</v>
      </c>
      <c r="D138" s="70">
        <f>0.19-0.04+0.18</f>
        <v>0.32999999999999996</v>
      </c>
      <c r="E138" s="70">
        <f>0.19-0.04+0.18</f>
        <v>0.32999999999999996</v>
      </c>
      <c r="F138" s="70">
        <f>0.19-0.04+0.18</f>
        <v>0.32999999999999996</v>
      </c>
      <c r="G138" s="70">
        <f t="shared" si="1"/>
        <v>0</v>
      </c>
      <c r="H138" s="48"/>
    </row>
    <row r="139" spans="1:10" ht="15" customHeight="1">
      <c r="A139" s="2"/>
      <c r="B139" s="88" t="s">
        <v>24</v>
      </c>
      <c r="C139" s="70">
        <f>4.38+4.4+2.18-6.58-4.38+13.16+2.2-6.58-2.2+4.38+10.96-6.56-10.98+2.2+10.96-2.18-2.2-4.38+2.18+2.2+2.2-8.78-6.58+4.38-4.38</f>
        <v>0</v>
      </c>
      <c r="D139" s="70">
        <f>4.38+4.4+2.18-6.58-4.38+13.16+2.2-6.58-2.2+4.38+10.96-6.56-10.98+2.2+10.96-2.18-2.2-4.38+2.18+2.2+2.2-8.78-6.58+4.38-4.38</f>
        <v>0</v>
      </c>
      <c r="E139" s="70">
        <f>4.38+4.4+2.18-6.58-4.38+13.16+2.2-6.58-2.2+4.38+10.96-6.56-10.98+2.2+10.96-2.18-2.2-4.38+2.18+2.2+2.2-8.78-6.58+4.38-4.38</f>
        <v>0</v>
      </c>
      <c r="F139" s="70">
        <f>4.38+4.4+2.18-6.58-4.38+13.16+2.2-6.58-2.2+4.38+10.96-6.56-10.98+2.2+10.96-2.18-2.2-4.38+2.18+2.2+2.2-8.78-6.58+4.38-4.38</f>
        <v>0</v>
      </c>
      <c r="G139" s="70">
        <f t="shared" si="1"/>
        <v>0</v>
      </c>
      <c r="H139" s="18"/>
      <c r="I139" s="61"/>
    </row>
    <row r="140" spans="1:10" ht="15" customHeight="1">
      <c r="A140" s="2"/>
      <c r="B140" s="88" t="s">
        <v>38</v>
      </c>
      <c r="C140" s="70">
        <v>10</v>
      </c>
      <c r="D140" s="70">
        <v>0</v>
      </c>
      <c r="E140" s="70">
        <v>0</v>
      </c>
      <c r="F140" s="70">
        <v>0</v>
      </c>
      <c r="G140" s="70">
        <v>0</v>
      </c>
      <c r="H140" s="18"/>
    </row>
    <row r="141" spans="1:10" ht="15" customHeight="1">
      <c r="A141" s="2"/>
      <c r="B141" s="88" t="s">
        <v>96</v>
      </c>
      <c r="C141" s="70">
        <v>0</v>
      </c>
      <c r="D141" s="70">
        <v>0</v>
      </c>
      <c r="E141" s="70">
        <v>0</v>
      </c>
      <c r="F141" s="70">
        <v>0</v>
      </c>
      <c r="G141" s="70">
        <v>0</v>
      </c>
      <c r="H141" s="18"/>
    </row>
    <row r="142" spans="1:10" ht="15" customHeight="1">
      <c r="A142" s="2"/>
      <c r="B142" s="88" t="s">
        <v>52</v>
      </c>
      <c r="C142" s="18">
        <f>-0.4+0.7</f>
        <v>0.29999999999999993</v>
      </c>
      <c r="D142" s="18">
        <f>-0.4+0.7</f>
        <v>0.29999999999999993</v>
      </c>
      <c r="E142" s="18"/>
      <c r="F142" s="18"/>
      <c r="G142" s="18"/>
      <c r="H142" s="18"/>
      <c r="I142" s="18"/>
    </row>
    <row r="143" spans="1:10">
      <c r="A143" s="2"/>
      <c r="B143" s="2" t="s">
        <v>14</v>
      </c>
      <c r="C143" s="50">
        <f>SUM(C128:C142)</f>
        <v>781.33</v>
      </c>
      <c r="D143" s="50">
        <f>SUM(D128:D142)</f>
        <v>771.33</v>
      </c>
      <c r="E143" s="50">
        <f>SUM(E128:E142)</f>
        <v>611.70000000000005</v>
      </c>
      <c r="F143" s="50">
        <f>SUM(F128:F142)</f>
        <v>611.70000000000005</v>
      </c>
      <c r="G143" s="50">
        <f>SUM(G128:G142)</f>
        <v>170.96</v>
      </c>
      <c r="H143" s="24"/>
    </row>
    <row r="144" spans="1:10" ht="25.5">
      <c r="A144" s="2"/>
      <c r="B144" s="51" t="s">
        <v>43</v>
      </c>
      <c r="C144" s="18">
        <f>C146-C143</f>
        <v>504.66999999999996</v>
      </c>
      <c r="D144" s="18">
        <f>D146-D143</f>
        <v>491.66999999999996</v>
      </c>
      <c r="E144" s="18">
        <f>E148-E143</f>
        <v>485.62999999999988</v>
      </c>
      <c r="F144" s="18">
        <f>F148-F143</f>
        <v>490.03</v>
      </c>
      <c r="G144" s="18">
        <f>G148-G143</f>
        <v>486.12799999999993</v>
      </c>
      <c r="H144" s="18"/>
    </row>
    <row r="145" spans="1:16">
      <c r="A145" s="2"/>
      <c r="B145" s="15"/>
      <c r="C145" s="18"/>
      <c r="D145" s="18"/>
      <c r="E145" s="18"/>
      <c r="F145" s="18"/>
      <c r="G145" s="18"/>
      <c r="H145" s="18"/>
    </row>
    <row r="146" spans="1:16" ht="20.25" customHeight="1" thickBot="1">
      <c r="A146" s="2"/>
      <c r="B146" s="15" t="s">
        <v>27</v>
      </c>
      <c r="C146" s="100">
        <f>1333+29-8-24+49-25-68</f>
        <v>1286</v>
      </c>
      <c r="D146" s="101">
        <f>1309+29-8-22+49-25-69</f>
        <v>1263</v>
      </c>
      <c r="E146" s="18"/>
      <c r="F146" s="18"/>
      <c r="G146" s="18"/>
      <c r="H146" s="18"/>
    </row>
    <row r="147" spans="1:16" ht="13.5" thickTop="1">
      <c r="A147" s="2"/>
      <c r="E147" s="24"/>
      <c r="F147" s="18"/>
      <c r="G147" s="18"/>
      <c r="H147" s="18"/>
      <c r="I147" s="18"/>
    </row>
    <row r="148" spans="1:16" ht="13.5" thickBot="1">
      <c r="A148" s="2"/>
      <c r="B148" s="15" t="s">
        <v>28</v>
      </c>
      <c r="E148" s="102">
        <f>1141.83+21-2-10.5+30-23-60</f>
        <v>1097.33</v>
      </c>
      <c r="F148" s="102">
        <f>1144.23+21-2-10.5+32-23-60</f>
        <v>1101.73</v>
      </c>
      <c r="G148" s="102">
        <f>741.588+17-8-48.5+34-22-57</f>
        <v>657.08799999999997</v>
      </c>
      <c r="H148" s="52"/>
    </row>
    <row r="149" spans="1:16" ht="13.5" thickTop="1">
      <c r="A149" s="2"/>
      <c r="B149" s="15"/>
      <c r="E149" s="57"/>
      <c r="F149" s="57"/>
      <c r="G149" s="57"/>
      <c r="H149" s="52"/>
    </row>
    <row r="150" spans="1:16">
      <c r="A150" s="2"/>
      <c r="B150" s="15"/>
      <c r="E150" s="57"/>
      <c r="F150" s="57"/>
      <c r="G150" s="57"/>
      <c r="H150" s="52"/>
    </row>
    <row r="151" spans="1:16">
      <c r="A151" s="2"/>
      <c r="B151" s="15"/>
      <c r="E151" s="57"/>
      <c r="F151" s="57"/>
      <c r="G151" s="57"/>
      <c r="H151" s="52"/>
    </row>
    <row r="152" spans="1:16" ht="12.75" customHeight="1">
      <c r="A152" s="2"/>
      <c r="B152" s="109" t="s">
        <v>22</v>
      </c>
      <c r="C152" s="109"/>
      <c r="D152" s="109"/>
      <c r="E152" s="109"/>
      <c r="F152" s="109"/>
      <c r="G152" s="109"/>
      <c r="H152" s="109"/>
      <c r="I152" s="109"/>
    </row>
    <row r="154" spans="1:16">
      <c r="A154" s="2"/>
      <c r="C154" s="107" t="s">
        <v>34</v>
      </c>
      <c r="D154" s="108"/>
      <c r="E154" s="107" t="s">
        <v>92</v>
      </c>
      <c r="F154" s="108"/>
      <c r="G154" s="107" t="s">
        <v>1</v>
      </c>
      <c r="H154" s="108"/>
      <c r="I154" s="107" t="s">
        <v>93</v>
      </c>
      <c r="J154" s="108"/>
    </row>
    <row r="155" spans="1:16">
      <c r="A155" s="2"/>
      <c r="C155" s="64" t="s">
        <v>15</v>
      </c>
      <c r="D155" s="64" t="s">
        <v>16</v>
      </c>
      <c r="E155" s="64" t="s">
        <v>15</v>
      </c>
      <c r="F155" s="64" t="s">
        <v>16</v>
      </c>
      <c r="G155" s="64" t="s">
        <v>15</v>
      </c>
      <c r="H155" s="64" t="s">
        <v>16</v>
      </c>
      <c r="I155" s="64" t="s">
        <v>15</v>
      </c>
      <c r="J155" s="64" t="s">
        <v>16</v>
      </c>
      <c r="K155" s="95"/>
    </row>
    <row r="156" spans="1:16">
      <c r="A156" s="2"/>
      <c r="B156" s="20" t="s">
        <v>18</v>
      </c>
      <c r="C156" s="31" t="s">
        <v>17</v>
      </c>
      <c r="D156" s="31" t="s">
        <v>17</v>
      </c>
      <c r="E156" s="31" t="s">
        <v>17</v>
      </c>
      <c r="F156" s="31" t="s">
        <v>17</v>
      </c>
      <c r="G156" s="31" t="s">
        <v>17</v>
      </c>
      <c r="H156" s="31" t="s">
        <v>17</v>
      </c>
      <c r="I156" s="31" t="s">
        <v>71</v>
      </c>
      <c r="J156" s="31" t="s">
        <v>71</v>
      </c>
      <c r="K156" s="95"/>
    </row>
    <row r="157" spans="1:16">
      <c r="A157" s="2"/>
      <c r="E157" s="5" t="s">
        <v>36</v>
      </c>
    </row>
    <row r="158" spans="1:16">
      <c r="A158" s="2"/>
      <c r="E158" s="5"/>
    </row>
    <row r="159" spans="1:16">
      <c r="A159" s="2"/>
      <c r="B159" s="54">
        <v>41276</v>
      </c>
      <c r="C159" s="3">
        <v>1186</v>
      </c>
      <c r="D159" s="3">
        <v>1151</v>
      </c>
      <c r="E159" s="55">
        <v>1111.3700000000006</v>
      </c>
      <c r="F159" s="55">
        <v>1086.6700000000003</v>
      </c>
      <c r="G159" s="56">
        <v>849.02800000000002</v>
      </c>
      <c r="H159" s="56">
        <v>807.12800000000004</v>
      </c>
      <c r="I159" s="3">
        <v>2229</v>
      </c>
      <c r="J159" s="3">
        <v>2047</v>
      </c>
      <c r="K159" s="3"/>
      <c r="M159" s="2">
        <f>ROUND((H159-2.1+26.43)*1.333,0)</f>
        <v>1108</v>
      </c>
      <c r="N159" s="4" t="e">
        <f>SUM(M159-#REF!)</f>
        <v>#REF!</v>
      </c>
      <c r="P159" s="53">
        <f>SUM(807.128-2.5+26.43)*1.333</f>
        <v>1107.8003140000001</v>
      </c>
    </row>
    <row r="160" spans="1:16">
      <c r="A160" s="2"/>
      <c r="B160" s="54">
        <v>41311</v>
      </c>
      <c r="C160" s="3">
        <f>C159+41</f>
        <v>1227</v>
      </c>
      <c r="D160" s="3">
        <f>D159+41</f>
        <v>1192</v>
      </c>
      <c r="E160" s="55">
        <f>E159+17.8</f>
        <v>1129.1700000000005</v>
      </c>
      <c r="F160" s="55">
        <f>F159+17.8</f>
        <v>1104.4700000000003</v>
      </c>
      <c r="G160" s="56">
        <f>G159+26</f>
        <v>875.02800000000002</v>
      </c>
      <c r="H160" s="56">
        <f>H159+26</f>
        <v>833.12800000000004</v>
      </c>
      <c r="I160" s="3">
        <f>I159+73</f>
        <v>2302</v>
      </c>
      <c r="J160" s="3">
        <f>J159+73</f>
        <v>2120</v>
      </c>
      <c r="K160" s="3"/>
      <c r="M160" s="2">
        <f>ROUND((H160-2.1+26.43)*1.333,0)-1</f>
        <v>1142</v>
      </c>
      <c r="N160" s="4">
        <f t="shared" ref="N160:N163" si="2">SUM(M160-M159)</f>
        <v>34</v>
      </c>
      <c r="P160" s="53">
        <f>SUM(833.128-2.5+26.43)*1.333</f>
        <v>1142.458314</v>
      </c>
    </row>
    <row r="161" spans="1:16">
      <c r="A161" s="2"/>
      <c r="B161" s="54">
        <v>41339</v>
      </c>
      <c r="C161" s="3">
        <f>C160+81</f>
        <v>1308</v>
      </c>
      <c r="D161" s="3">
        <f>D160+81</f>
        <v>1273</v>
      </c>
      <c r="E161" s="55">
        <f>E160+58.38</f>
        <v>1187.5500000000006</v>
      </c>
      <c r="F161" s="55">
        <f>F160+58.38</f>
        <v>1162.8500000000004</v>
      </c>
      <c r="G161" s="56">
        <f>G160+57</f>
        <v>932.02800000000002</v>
      </c>
      <c r="H161" s="56">
        <f>H160+57</f>
        <v>890.12800000000004</v>
      </c>
      <c r="I161" s="3">
        <f>I160+118</f>
        <v>2420</v>
      </c>
      <c r="J161" s="3">
        <f>J160+118</f>
        <v>2238</v>
      </c>
      <c r="K161" s="3"/>
      <c r="M161" s="2">
        <f>ROUND((H161-2.1+26.43)*1.333,0)-1</f>
        <v>1218</v>
      </c>
      <c r="N161" s="4">
        <f t="shared" si="2"/>
        <v>76</v>
      </c>
      <c r="P161" s="53">
        <f>SUM(890.128-2.5+26.43)*1.333</f>
        <v>1218.439314</v>
      </c>
    </row>
    <row r="162" spans="1:16">
      <c r="A162" s="2"/>
      <c r="B162" s="54">
        <v>41367</v>
      </c>
      <c r="C162" s="3">
        <f>C161+12</f>
        <v>1320</v>
      </c>
      <c r="D162" s="3">
        <f>D161+10</f>
        <v>1283</v>
      </c>
      <c r="E162" s="55">
        <f>E161+9.06</f>
        <v>1196.6100000000006</v>
      </c>
      <c r="F162" s="55">
        <f>F161+7.16</f>
        <v>1170.0100000000004</v>
      </c>
      <c r="G162" s="56">
        <f>G161-25.8</f>
        <v>906.22800000000007</v>
      </c>
      <c r="H162" s="56">
        <f>H161-29.8</f>
        <v>860.32800000000009</v>
      </c>
      <c r="I162" s="3">
        <f>I161-55</f>
        <v>2365</v>
      </c>
      <c r="J162" s="3">
        <f>J161-55</f>
        <v>2183</v>
      </c>
      <c r="K162" s="3"/>
      <c r="M162" s="2">
        <f t="shared" ref="M162:M167" si="3">ROUND((H162-2.3+28.97)*1.333,0)</f>
        <v>1182</v>
      </c>
      <c r="N162" s="4">
        <f t="shared" si="2"/>
        <v>-36</v>
      </c>
      <c r="P162" s="53">
        <f>SUM(860.328-2.3+28.97)*1.333</f>
        <v>1182.368334</v>
      </c>
    </row>
    <row r="163" spans="1:16">
      <c r="A163" s="2"/>
      <c r="B163" s="54">
        <v>41395</v>
      </c>
      <c r="C163" s="3">
        <f>C162-73</f>
        <v>1247</v>
      </c>
      <c r="D163" s="3">
        <f>D162-73</f>
        <v>1210</v>
      </c>
      <c r="E163" s="55">
        <f>E162-55.56</f>
        <v>1141.0500000000006</v>
      </c>
      <c r="F163" s="55">
        <f>F162-55.56</f>
        <v>1114.4500000000005</v>
      </c>
      <c r="G163" s="56">
        <f>G162-58</f>
        <v>848.22800000000007</v>
      </c>
      <c r="H163" s="56">
        <f>H162-58</f>
        <v>802.32800000000009</v>
      </c>
      <c r="I163" s="3">
        <f>I162-81</f>
        <v>2284</v>
      </c>
      <c r="J163" s="3">
        <f>J162-81</f>
        <v>2102</v>
      </c>
      <c r="K163" s="3"/>
      <c r="M163" s="2">
        <f t="shared" si="3"/>
        <v>1105</v>
      </c>
      <c r="N163" s="4">
        <f t="shared" si="2"/>
        <v>-77</v>
      </c>
      <c r="P163" s="53">
        <f>SUM(802.328-2.3+28.97)*1.333</f>
        <v>1105.0543339999999</v>
      </c>
    </row>
    <row r="164" spans="1:16">
      <c r="A164" s="2"/>
      <c r="B164" s="54">
        <v>41430</v>
      </c>
      <c r="C164" s="3">
        <f>C163-8</f>
        <v>1239</v>
      </c>
      <c r="D164" s="3">
        <f>D163-8</f>
        <v>1202</v>
      </c>
      <c r="E164" s="55">
        <f>E163-3.98</f>
        <v>1137.0700000000006</v>
      </c>
      <c r="F164" s="55">
        <f>F163-3.98</f>
        <v>1110.4700000000005</v>
      </c>
      <c r="G164" s="56">
        <f>G163+1</f>
        <v>849.22800000000007</v>
      </c>
      <c r="H164" s="56">
        <f>H163+1</f>
        <v>803.32800000000009</v>
      </c>
      <c r="I164" s="3">
        <f>I163+5</f>
        <v>2289</v>
      </c>
      <c r="J164" s="3">
        <f>J163+5</f>
        <v>2107</v>
      </c>
      <c r="K164" s="3"/>
      <c r="M164" s="2">
        <f t="shared" si="3"/>
        <v>1106</v>
      </c>
      <c r="N164" s="4">
        <f t="shared" ref="N164:N169" si="4">SUM(M164-M163)</f>
        <v>1</v>
      </c>
      <c r="P164" s="53">
        <f>SUM(803.328-2.3+28.97)*1.333</f>
        <v>1106.387334</v>
      </c>
    </row>
    <row r="165" spans="1:16">
      <c r="A165" s="2"/>
      <c r="B165" s="54">
        <v>41458</v>
      </c>
      <c r="C165" s="3">
        <f>C164+84</f>
        <v>1323</v>
      </c>
      <c r="D165" s="3">
        <f>D164+84</f>
        <v>1286</v>
      </c>
      <c r="E165" s="55">
        <f>E164+78.2</f>
        <v>1215.2700000000007</v>
      </c>
      <c r="F165" s="55">
        <f>F164+78.2</f>
        <v>1188.6700000000005</v>
      </c>
      <c r="G165" s="56">
        <f>G164+75</f>
        <v>924.22800000000007</v>
      </c>
      <c r="H165" s="56">
        <f>H164+75</f>
        <v>878.32800000000009</v>
      </c>
      <c r="I165" s="3">
        <f>I164+129</f>
        <v>2418</v>
      </c>
      <c r="J165" s="3">
        <f>J164+129</f>
        <v>2236</v>
      </c>
      <c r="K165" s="3"/>
      <c r="M165" s="2">
        <f t="shared" si="3"/>
        <v>1206</v>
      </c>
      <c r="N165" s="4">
        <f t="shared" si="4"/>
        <v>100</v>
      </c>
      <c r="P165" s="53">
        <f>SUM(879.528-2.3+28.97)*1.333</f>
        <v>1207.9619340000002</v>
      </c>
    </row>
    <row r="166" spans="1:16">
      <c r="A166" s="2"/>
      <c r="B166" s="54">
        <v>41493</v>
      </c>
      <c r="C166" s="3">
        <f>C165+32</f>
        <v>1355</v>
      </c>
      <c r="D166" s="3">
        <f>D165+32</f>
        <v>1318</v>
      </c>
      <c r="E166" s="55">
        <f>E165+32.96</f>
        <v>1248.2300000000007</v>
      </c>
      <c r="F166" s="55">
        <f>F165+32.96</f>
        <v>1221.6300000000006</v>
      </c>
      <c r="G166" s="56">
        <f>G165+25</f>
        <v>949.22800000000007</v>
      </c>
      <c r="H166" s="56">
        <f>H165+25</f>
        <v>903.32800000000009</v>
      </c>
      <c r="I166" s="3">
        <f>I165+22</f>
        <v>2440</v>
      </c>
      <c r="J166" s="3">
        <f>J165+22</f>
        <v>2258</v>
      </c>
      <c r="K166" s="3"/>
      <c r="M166" s="2">
        <f t="shared" si="3"/>
        <v>1240</v>
      </c>
      <c r="N166" s="4">
        <f t="shared" si="4"/>
        <v>34</v>
      </c>
      <c r="P166" s="53">
        <f>SUM(903.328-2.3+28.97)*1.333</f>
        <v>1239.687334</v>
      </c>
    </row>
    <row r="167" spans="1:16">
      <c r="A167" s="2"/>
      <c r="B167" s="54">
        <v>41521</v>
      </c>
      <c r="C167" s="3">
        <f>C166-5</f>
        <v>1350</v>
      </c>
      <c r="D167" s="3">
        <f>D166-5</f>
        <v>1313</v>
      </c>
      <c r="E167" s="55">
        <f>E166+13.82</f>
        <v>1262.0500000000006</v>
      </c>
      <c r="F167" s="55">
        <f>F166+13.82</f>
        <v>1235.4500000000005</v>
      </c>
      <c r="G167" s="56">
        <f>G166+25</f>
        <v>974.22800000000007</v>
      </c>
      <c r="H167" s="56">
        <f>H166+25</f>
        <v>928.32800000000009</v>
      </c>
      <c r="I167" s="3">
        <f>I166+9</f>
        <v>2449</v>
      </c>
      <c r="J167" s="3">
        <f>J166+9</f>
        <v>2267</v>
      </c>
      <c r="K167" s="3"/>
      <c r="M167" s="2">
        <f t="shared" si="3"/>
        <v>1273</v>
      </c>
      <c r="N167" s="4">
        <f t="shared" si="4"/>
        <v>33</v>
      </c>
      <c r="P167" s="53">
        <f>SUM(928.328-2.3+28.97)*1.333</f>
        <v>1273.012334</v>
      </c>
    </row>
    <row r="168" spans="1:16">
      <c r="A168" s="2"/>
      <c r="B168" s="54">
        <v>41549</v>
      </c>
      <c r="C168" s="3">
        <f>C167-20</f>
        <v>1330</v>
      </c>
      <c r="D168" s="3">
        <f>D167-20</f>
        <v>1293</v>
      </c>
      <c r="E168" s="55">
        <f>E167-2</f>
        <v>1260.0500000000006</v>
      </c>
      <c r="F168" s="55">
        <f>F167-2</f>
        <v>1233.4500000000005</v>
      </c>
      <c r="G168" s="56">
        <f>G167-4</f>
        <v>970.22800000000007</v>
      </c>
      <c r="H168" s="56">
        <f>H167-4</f>
        <v>924.32800000000009</v>
      </c>
      <c r="I168" s="3">
        <f>I167-40</f>
        <v>2409</v>
      </c>
      <c r="J168" s="3">
        <f>J167-40</f>
        <v>2227</v>
      </c>
      <c r="K168" s="3"/>
      <c r="M168" s="2">
        <f t="shared" ref="M168:M173" si="5">ROUND((H168-2.3+28.97)*1.333,0)</f>
        <v>1268</v>
      </c>
      <c r="N168" s="4">
        <f t="shared" si="4"/>
        <v>-5</v>
      </c>
      <c r="P168" s="53">
        <f>SUM(924.328-2.3+28.97)*1.333</f>
        <v>1267.6803340000001</v>
      </c>
    </row>
    <row r="169" spans="1:16">
      <c r="A169" s="2"/>
      <c r="B169" s="54">
        <v>41584</v>
      </c>
      <c r="C169" s="3">
        <f>C168-28</f>
        <v>1302</v>
      </c>
      <c r="D169" s="3">
        <f>D168-28</f>
        <v>1265</v>
      </c>
      <c r="E169" s="55">
        <f>E168-15.2</f>
        <v>1244.8500000000006</v>
      </c>
      <c r="F169" s="55">
        <f>F168-15.2</f>
        <v>1218.2500000000005</v>
      </c>
      <c r="G169" s="56">
        <f>G168-16</f>
        <v>954.22800000000007</v>
      </c>
      <c r="H169" s="56">
        <f>H168-16</f>
        <v>908.32800000000009</v>
      </c>
      <c r="I169" s="3">
        <f>I168-41</f>
        <v>2368</v>
      </c>
      <c r="J169" s="3">
        <f>J168-41</f>
        <v>2186</v>
      </c>
      <c r="K169" s="3"/>
      <c r="M169" s="2">
        <f t="shared" si="5"/>
        <v>1246</v>
      </c>
      <c r="N169" s="4">
        <f t="shared" si="4"/>
        <v>-22</v>
      </c>
      <c r="P169" s="53">
        <f>SUM(908.328-2.3+28.97)*1.333</f>
        <v>1246.3523339999999</v>
      </c>
    </row>
    <row r="170" spans="1:16">
      <c r="A170" s="2"/>
      <c r="B170" s="54">
        <v>41612</v>
      </c>
      <c r="C170" s="3">
        <f>C169+17</f>
        <v>1319</v>
      </c>
      <c r="D170" s="3">
        <f>D169+17</f>
        <v>1282</v>
      </c>
      <c r="E170" s="55">
        <f>E169+10.12</f>
        <v>1254.9700000000005</v>
      </c>
      <c r="F170" s="55">
        <f>F169+10.12</f>
        <v>1228.3700000000003</v>
      </c>
      <c r="G170" s="56">
        <f>G169+16.5</f>
        <v>970.72800000000007</v>
      </c>
      <c r="H170" s="56">
        <f>H169+16.5</f>
        <v>924.82800000000009</v>
      </c>
      <c r="I170" s="3">
        <f>I169+18</f>
        <v>2386</v>
      </c>
      <c r="J170" s="3">
        <f>J169+18</f>
        <v>2204</v>
      </c>
      <c r="K170" s="3"/>
      <c r="M170" s="2">
        <f t="shared" si="5"/>
        <v>1268</v>
      </c>
      <c r="N170" s="4">
        <f t="shared" ref="N170:N175" si="6">SUM(M170-M169)</f>
        <v>22</v>
      </c>
      <c r="P170" s="53">
        <f>SUM(924.828-2.3+28.97)*1.333</f>
        <v>1268.3468339999999</v>
      </c>
    </row>
    <row r="171" spans="1:16">
      <c r="A171" s="2"/>
      <c r="B171" s="54">
        <v>41640</v>
      </c>
      <c r="C171" s="3">
        <f>C170+38</f>
        <v>1357</v>
      </c>
      <c r="D171" s="3">
        <f>D170+38</f>
        <v>1320</v>
      </c>
      <c r="E171" s="55">
        <f>E170+32.18</f>
        <v>1287.1500000000005</v>
      </c>
      <c r="F171" s="55">
        <f>F170+32.18</f>
        <v>1260.5500000000004</v>
      </c>
      <c r="G171" s="56">
        <f>G170+39</f>
        <v>1009.7280000000001</v>
      </c>
      <c r="H171" s="56">
        <f>H170+39</f>
        <v>963.82800000000009</v>
      </c>
      <c r="I171" s="3">
        <f>I170+56</f>
        <v>2442</v>
      </c>
      <c r="J171" s="3">
        <f>J170+56</f>
        <v>2260</v>
      </c>
      <c r="K171" s="3"/>
      <c r="M171" s="2">
        <f t="shared" si="5"/>
        <v>1320</v>
      </c>
      <c r="N171" s="4">
        <f t="shared" si="6"/>
        <v>52</v>
      </c>
      <c r="P171" s="53">
        <f>SUM(963.828-2.3+28.97)*1.333</f>
        <v>1320.333834</v>
      </c>
    </row>
    <row r="172" spans="1:16">
      <c r="A172" s="2"/>
      <c r="B172" s="54">
        <v>41675</v>
      </c>
      <c r="C172" s="3">
        <f>C171+39</f>
        <v>1396</v>
      </c>
      <c r="D172" s="3">
        <f>D171+39</f>
        <v>1359</v>
      </c>
      <c r="E172" s="55">
        <f>E171+24.2</f>
        <v>1311.3500000000006</v>
      </c>
      <c r="F172" s="55">
        <f>F171+24.2</f>
        <v>1284.7500000000005</v>
      </c>
      <c r="G172" s="56">
        <f>G171+12</f>
        <v>1021.7280000000001</v>
      </c>
      <c r="H172" s="56">
        <f>H171+12</f>
        <v>975.82800000000009</v>
      </c>
      <c r="I172" s="3">
        <f>I171+54</f>
        <v>2496</v>
      </c>
      <c r="J172" s="3">
        <f>J171+54</f>
        <v>2314</v>
      </c>
      <c r="K172" s="3"/>
      <c r="M172" s="2">
        <f t="shared" si="5"/>
        <v>1336</v>
      </c>
      <c r="N172" s="4">
        <f t="shared" si="6"/>
        <v>16</v>
      </c>
      <c r="P172" s="53">
        <f>SUM(975.828-2.3+28.97)*1.333</f>
        <v>1336.3298340000001</v>
      </c>
    </row>
    <row r="173" spans="1:16">
      <c r="A173" s="2"/>
      <c r="B173" s="54">
        <v>41703</v>
      </c>
      <c r="C173" s="3">
        <f>C172+36</f>
        <v>1432</v>
      </c>
      <c r="D173" s="3">
        <f>D172+36</f>
        <v>1395</v>
      </c>
      <c r="E173" s="55">
        <f>E172+27.2</f>
        <v>1338.5500000000006</v>
      </c>
      <c r="F173" s="55">
        <f>F172+27.2</f>
        <v>1311.9500000000005</v>
      </c>
      <c r="G173" s="56">
        <f>G172+16</f>
        <v>1037.7280000000001</v>
      </c>
      <c r="H173" s="56">
        <f>H172+16</f>
        <v>991.82800000000009</v>
      </c>
      <c r="I173" s="3">
        <f>I172+58</f>
        <v>2554</v>
      </c>
      <c r="J173" s="3">
        <f>J172+58</f>
        <v>2372</v>
      </c>
      <c r="K173" s="3"/>
      <c r="M173" s="2">
        <f t="shared" si="5"/>
        <v>1358</v>
      </c>
      <c r="N173" s="4">
        <f t="shared" si="6"/>
        <v>22</v>
      </c>
      <c r="P173" s="53">
        <f>SUM(991.828-2.3+28.97)*1.333</f>
        <v>1357.6578340000001</v>
      </c>
    </row>
    <row r="174" spans="1:16">
      <c r="A174" s="2"/>
      <c r="B174" s="54">
        <v>41731</v>
      </c>
      <c r="C174" s="3">
        <f>C173+7</f>
        <v>1439</v>
      </c>
      <c r="D174" s="3">
        <f>D173+3</f>
        <v>1398</v>
      </c>
      <c r="E174" s="55">
        <f>E173-8.8</f>
        <v>1329.7500000000007</v>
      </c>
      <c r="F174" s="55">
        <f>F173-12.8</f>
        <v>1299.1500000000005</v>
      </c>
      <c r="G174" s="56">
        <f>G173-34.5</f>
        <v>1003.2280000000001</v>
      </c>
      <c r="H174" s="56">
        <f>H173-38.8</f>
        <v>953.02800000000013</v>
      </c>
      <c r="I174" s="3">
        <f>I173-22</f>
        <v>2532</v>
      </c>
      <c r="J174" s="3">
        <f>J173-22</f>
        <v>2350</v>
      </c>
      <c r="K174" s="3"/>
      <c r="M174" s="2">
        <f>ROUND((H174-2.5+31.69)*1.333,0)</f>
        <v>1309</v>
      </c>
      <c r="N174" s="4">
        <f t="shared" si="6"/>
        <v>-49</v>
      </c>
      <c r="P174" s="53">
        <f>SUM(957.328-2.3+31.96)*1.333</f>
        <v>1315.655004</v>
      </c>
    </row>
    <row r="175" spans="1:16">
      <c r="A175" s="2"/>
      <c r="B175" s="54">
        <v>41766</v>
      </c>
      <c r="C175" s="3">
        <f>C174-15</f>
        <v>1424</v>
      </c>
      <c r="D175" s="3">
        <f>D174-15</f>
        <v>1383</v>
      </c>
      <c r="E175" s="55">
        <f>E174-29.78</f>
        <v>1299.9700000000007</v>
      </c>
      <c r="F175" s="55">
        <f>F174-29.78</f>
        <v>1269.3700000000006</v>
      </c>
      <c r="G175" s="56">
        <f>G174-19</f>
        <v>984.22800000000007</v>
      </c>
      <c r="H175" s="56">
        <f>H174-19</f>
        <v>934.02800000000013</v>
      </c>
      <c r="I175" s="3">
        <f>I174-4</f>
        <v>2528</v>
      </c>
      <c r="J175" s="3">
        <f>J174-4</f>
        <v>2346</v>
      </c>
      <c r="K175" s="3"/>
      <c r="M175" s="2">
        <f>ROUND((H175-2.5+31.69)*1.333,0)</f>
        <v>1284</v>
      </c>
      <c r="N175" s="4">
        <f t="shared" si="6"/>
        <v>-25</v>
      </c>
      <c r="P175" s="53">
        <f>SUM(934.028-2.3+31.96)*1.333</f>
        <v>1284.5961040000002</v>
      </c>
    </row>
    <row r="176" spans="1:16">
      <c r="A176" s="2"/>
      <c r="B176" s="54">
        <v>41794</v>
      </c>
      <c r="C176" s="3">
        <f>C175-22</f>
        <v>1402</v>
      </c>
      <c r="D176" s="3">
        <f>D175-22</f>
        <v>1361</v>
      </c>
      <c r="E176" s="55">
        <f>E175-23.58</f>
        <v>1276.3900000000008</v>
      </c>
      <c r="F176" s="55">
        <f>F175-23.58</f>
        <v>1245.7900000000006</v>
      </c>
      <c r="G176" s="56">
        <f>G175-10</f>
        <v>974.22800000000007</v>
      </c>
      <c r="H176" s="56">
        <f>H175-10</f>
        <v>924.02800000000013</v>
      </c>
      <c r="I176" s="3">
        <f>I175-27</f>
        <v>2501</v>
      </c>
      <c r="J176" s="3">
        <f>J175-27</f>
        <v>2319</v>
      </c>
      <c r="K176" s="3"/>
      <c r="M176" s="2">
        <f>ROUND((H176-2.5+31.69)*1.333,0)</f>
        <v>1271</v>
      </c>
      <c r="N176" s="4">
        <f t="shared" ref="N176:N181" si="7">SUM(M176-M175)</f>
        <v>-13</v>
      </c>
      <c r="P176" s="53">
        <f>SUM(924.028-2.3+31.96)*1.333</f>
        <v>1271.266104</v>
      </c>
    </row>
    <row r="177" spans="1:18">
      <c r="A177" s="2"/>
      <c r="B177" s="54">
        <v>41822</v>
      </c>
      <c r="C177" s="3">
        <f>C176+31</f>
        <v>1433</v>
      </c>
      <c r="D177" s="3">
        <f>D176+31</f>
        <v>1392</v>
      </c>
      <c r="E177" s="55">
        <f>E176+14</f>
        <v>1290.3900000000008</v>
      </c>
      <c r="F177" s="55">
        <f>F176+14</f>
        <v>1259.7900000000006</v>
      </c>
      <c r="G177" s="56">
        <f>G176+23</f>
        <v>997.22800000000007</v>
      </c>
      <c r="H177" s="56">
        <f>H176+23</f>
        <v>947.02800000000013</v>
      </c>
      <c r="I177" s="3">
        <f>I176+58</f>
        <v>2559</v>
      </c>
      <c r="J177" s="3">
        <f>J176+58</f>
        <v>2377</v>
      </c>
      <c r="K177" s="3"/>
      <c r="M177" s="2">
        <f>ROUND((H177-2.5+31.69)*1.333,0)+1</f>
        <v>1302</v>
      </c>
      <c r="N177" s="4">
        <f t="shared" si="7"/>
        <v>31</v>
      </c>
      <c r="P177" s="53">
        <f>SUM(947.028-2.3+31.96)*1.333</f>
        <v>1301.9251040000001</v>
      </c>
      <c r="R177" s="2" t="s">
        <v>101</v>
      </c>
    </row>
    <row r="178" spans="1:18">
      <c r="A178" s="2"/>
      <c r="B178" s="54">
        <v>41857</v>
      </c>
      <c r="C178" s="3">
        <f>C177</f>
        <v>1433</v>
      </c>
      <c r="D178" s="3">
        <f>D177</f>
        <v>1392</v>
      </c>
      <c r="E178" s="55">
        <f>E177-5.62</f>
        <v>1284.7700000000009</v>
      </c>
      <c r="F178" s="55">
        <f>F177-5.62</f>
        <v>1254.1700000000008</v>
      </c>
      <c r="G178" s="56">
        <f>G177-7</f>
        <v>990.22800000000007</v>
      </c>
      <c r="H178" s="56">
        <f>H177-7</f>
        <v>940.02800000000013</v>
      </c>
      <c r="I178" s="3">
        <f>I177-12</f>
        <v>2547</v>
      </c>
      <c r="J178" s="3">
        <f>J177-12</f>
        <v>2365</v>
      </c>
      <c r="K178" s="3"/>
      <c r="M178" s="2">
        <f>ROUND((H178-2.5+31.69)*1.333,0)</f>
        <v>1292</v>
      </c>
      <c r="N178" s="4">
        <f t="shared" si="7"/>
        <v>-10</v>
      </c>
      <c r="P178" s="53">
        <f>SUM(940.028-2.3+31.96)*1.333</f>
        <v>1292.594104</v>
      </c>
    </row>
    <row r="179" spans="1:18">
      <c r="A179" s="2"/>
      <c r="B179" s="54">
        <v>41885</v>
      </c>
      <c r="C179" s="3">
        <f>C178-67</f>
        <v>1366</v>
      </c>
      <c r="D179" s="3">
        <f>D178-67</f>
        <v>1325</v>
      </c>
      <c r="E179" s="55">
        <f>E178-25.38</f>
        <v>1259.3900000000008</v>
      </c>
      <c r="F179" s="55">
        <f>F178-25.38</f>
        <v>1228.7900000000006</v>
      </c>
      <c r="G179" s="56">
        <f>G178-19</f>
        <v>971.22800000000007</v>
      </c>
      <c r="H179" s="56">
        <f>H178-19</f>
        <v>921.02800000000013</v>
      </c>
      <c r="I179" s="3">
        <f>I178-108</f>
        <v>2439</v>
      </c>
      <c r="J179" s="3">
        <f>J178-108</f>
        <v>2257</v>
      </c>
      <c r="K179" s="3"/>
      <c r="M179" s="2">
        <f>ROUND((H179-2.5+31.69)*1.333,0)</f>
        <v>1267</v>
      </c>
      <c r="N179" s="4">
        <f t="shared" si="7"/>
        <v>-25</v>
      </c>
      <c r="P179" s="53">
        <f>SUM(921.028-2.3+31.96)*1.333</f>
        <v>1267.267104</v>
      </c>
    </row>
    <row r="180" spans="1:18">
      <c r="A180" s="2"/>
      <c r="B180" s="54">
        <v>41913</v>
      </c>
      <c r="C180" s="3">
        <f>C179-5</f>
        <v>1361</v>
      </c>
      <c r="D180" s="3">
        <f>D179-5</f>
        <v>1320</v>
      </c>
      <c r="E180" s="55">
        <f>E179-13</f>
        <v>1246.3900000000008</v>
      </c>
      <c r="F180" s="55">
        <f>F179-13</f>
        <v>1215.7900000000006</v>
      </c>
      <c r="G180" s="56">
        <f>G179-14</f>
        <v>957.22800000000007</v>
      </c>
      <c r="H180" s="56">
        <f>H179-14</f>
        <v>907.02800000000013</v>
      </c>
      <c r="I180" s="3">
        <f>I179+12</f>
        <v>2451</v>
      </c>
      <c r="J180" s="3">
        <f>J179+12</f>
        <v>2269</v>
      </c>
      <c r="K180" s="3"/>
      <c r="M180" s="2">
        <f>ROUND((H180-2.5+31.69)*1.333,0)+1</f>
        <v>1249</v>
      </c>
      <c r="N180" s="4">
        <f t="shared" si="7"/>
        <v>-18</v>
      </c>
      <c r="P180" s="53">
        <f>SUM(907.028-2.3+31.96)*1.333</f>
        <v>1248.6051040000002</v>
      </c>
    </row>
    <row r="181" spans="1:18">
      <c r="A181" s="2"/>
      <c r="B181" s="54">
        <v>41948</v>
      </c>
      <c r="C181" s="3">
        <f>C180-45</f>
        <v>1316</v>
      </c>
      <c r="D181" s="3">
        <f>D180-45</f>
        <v>1275</v>
      </c>
      <c r="E181" s="55">
        <f>E180-61</f>
        <v>1185.3900000000008</v>
      </c>
      <c r="F181" s="55">
        <f>F180-61</f>
        <v>1154.7900000000006</v>
      </c>
      <c r="G181" s="56">
        <f>G180-52</f>
        <v>905.22800000000007</v>
      </c>
      <c r="H181" s="56">
        <f>H180-52</f>
        <v>855.02800000000013</v>
      </c>
      <c r="I181" s="3">
        <f>I180-105</f>
        <v>2346</v>
      </c>
      <c r="J181" s="3">
        <f>J180-105</f>
        <v>2164</v>
      </c>
      <c r="K181" s="3"/>
      <c r="M181" s="2">
        <f>ROUND((H181-2.5+31.69)*1.333,0)</f>
        <v>1179</v>
      </c>
      <c r="N181" s="4">
        <f t="shared" si="7"/>
        <v>-70</v>
      </c>
      <c r="P181" s="53">
        <f>SUM(855.028-2.3+31.96)*1.333</f>
        <v>1179.2891040000002</v>
      </c>
    </row>
    <row r="182" spans="1:18">
      <c r="A182" s="2"/>
      <c r="B182" s="54">
        <v>41976</v>
      </c>
      <c r="C182" s="3">
        <f>C181-69</f>
        <v>1247</v>
      </c>
      <c r="D182" s="3">
        <f>D181-69</f>
        <v>1206</v>
      </c>
      <c r="E182" s="55">
        <f>E181-53.3</f>
        <v>1132.0900000000008</v>
      </c>
      <c r="F182" s="55">
        <f>F181-53.3</f>
        <v>1101.4900000000007</v>
      </c>
      <c r="G182" s="56">
        <f>G181-49.3</f>
        <v>855.92800000000011</v>
      </c>
      <c r="H182" s="56">
        <f>H181-49.3</f>
        <v>805.72800000000018</v>
      </c>
      <c r="I182" s="3">
        <f>I181-125</f>
        <v>2221</v>
      </c>
      <c r="J182" s="3">
        <f>J181-125</f>
        <v>2039</v>
      </c>
      <c r="K182" s="3"/>
      <c r="M182" s="2">
        <f>ROUND((H182-2.5+31.69)*1.333,0)</f>
        <v>1113</v>
      </c>
      <c r="N182" s="4">
        <f t="shared" ref="N182:N187" si="8">SUM(M182-M181)</f>
        <v>-66</v>
      </c>
      <c r="P182" s="53">
        <f>SUM(805.728-2.3+31.96)*1.333</f>
        <v>1113.5722040000001</v>
      </c>
    </row>
    <row r="183" spans="1:18">
      <c r="A183" s="2"/>
      <c r="B183" s="54">
        <v>42011</v>
      </c>
      <c r="C183" s="3">
        <v>1124</v>
      </c>
      <c r="D183" s="3">
        <v>1083</v>
      </c>
      <c r="E183" s="55">
        <v>1028.0900000000008</v>
      </c>
      <c r="F183" s="55">
        <v>997.49000000000069</v>
      </c>
      <c r="G183" s="56">
        <v>747.92800000000011</v>
      </c>
      <c r="H183" s="56">
        <v>697.72800000000018</v>
      </c>
      <c r="I183" s="3">
        <v>2011</v>
      </c>
      <c r="J183" s="3">
        <v>1829</v>
      </c>
      <c r="K183" s="3"/>
      <c r="M183" s="2">
        <f>ROUND((H183-2.5+31.69)*1.333,0)</f>
        <v>969</v>
      </c>
      <c r="N183" s="4">
        <f>SUM(M183-M182)</f>
        <v>-144</v>
      </c>
      <c r="P183" s="53">
        <f>SUM(697.728-2.5+31.96)*1.333</f>
        <v>969.34160399999996</v>
      </c>
    </row>
    <row r="184" spans="1:18">
      <c r="A184" s="2"/>
      <c r="B184" s="54">
        <v>42039</v>
      </c>
      <c r="C184" s="3">
        <f>C183-93</f>
        <v>1031</v>
      </c>
      <c r="D184" s="3">
        <f>D183-93</f>
        <v>990</v>
      </c>
      <c r="E184" s="55">
        <f>E183-102</f>
        <v>926.09000000000083</v>
      </c>
      <c r="F184" s="55">
        <f>F183-102</f>
        <v>895.49000000000069</v>
      </c>
      <c r="G184" s="56">
        <f>G183-102</f>
        <v>645.92800000000011</v>
      </c>
      <c r="H184" s="56">
        <f>H183-102</f>
        <v>595.72800000000018</v>
      </c>
      <c r="I184" s="3">
        <f>I183-150</f>
        <v>1861</v>
      </c>
      <c r="J184" s="3">
        <f>J183-150</f>
        <v>1679</v>
      </c>
      <c r="K184" s="3"/>
      <c r="M184" s="2">
        <f>ROUND((H184-2.5+31.69)*1.333,0)</f>
        <v>833</v>
      </c>
      <c r="N184" s="4">
        <f t="shared" si="8"/>
        <v>-136</v>
      </c>
      <c r="P184" s="53">
        <f>SUM(595.728-2.5+31.96)*1.333</f>
        <v>833.37560399999995</v>
      </c>
    </row>
    <row r="185" spans="1:18">
      <c r="A185" s="2"/>
      <c r="B185" s="54">
        <v>42067</v>
      </c>
      <c r="C185" s="3">
        <f>C184+96</f>
        <v>1127</v>
      </c>
      <c r="D185" s="3">
        <f>D184+96</f>
        <v>1086</v>
      </c>
      <c r="E185" s="55">
        <f>E184+74</f>
        <v>1000.0900000000008</v>
      </c>
      <c r="F185" s="55">
        <f>F184+74</f>
        <v>969.49000000000069</v>
      </c>
      <c r="G185" s="56">
        <f>G184+73</f>
        <v>718.92800000000011</v>
      </c>
      <c r="H185" s="56">
        <f>H184+73</f>
        <v>668.72800000000018</v>
      </c>
      <c r="I185" s="3">
        <f>I184+154</f>
        <v>2015</v>
      </c>
      <c r="J185" s="3">
        <f>J184+154</f>
        <v>1833</v>
      </c>
      <c r="K185" s="3"/>
      <c r="M185" s="2">
        <f>ROUND((H185-2.5+31.69)*1.333,0)+1</f>
        <v>931</v>
      </c>
      <c r="N185" s="4">
        <f t="shared" si="8"/>
        <v>98</v>
      </c>
      <c r="P185" s="53">
        <f>SUM(668.728-2.5+31.96)*1.333</f>
        <v>930.68460399999992</v>
      </c>
      <c r="R185" s="2" t="s">
        <v>101</v>
      </c>
    </row>
    <row r="186" spans="1:18">
      <c r="A186" s="2"/>
      <c r="B186" s="54">
        <v>42095</v>
      </c>
      <c r="C186" s="3">
        <f>C185+162</f>
        <v>1289</v>
      </c>
      <c r="D186" s="3">
        <f>D185+160</f>
        <v>1246</v>
      </c>
      <c r="E186" s="55">
        <f>E185+122.7</f>
        <v>1122.7900000000009</v>
      </c>
      <c r="F186" s="55">
        <f>F185+120.6</f>
        <v>1090.0900000000006</v>
      </c>
      <c r="G186" s="56">
        <f>G185+24.9</f>
        <v>743.82800000000009</v>
      </c>
      <c r="H186" s="56">
        <f>H185+22.1</f>
        <v>690.8280000000002</v>
      </c>
      <c r="I186" s="3">
        <f>I185+85</f>
        <v>2100</v>
      </c>
      <c r="J186" s="3">
        <f>J185+85</f>
        <v>1918</v>
      </c>
      <c r="K186" s="3"/>
      <c r="M186" s="2">
        <f t="shared" ref="M186:M191" si="9">ROUND((H186-2.6+29.4)*1.333,0)</f>
        <v>957</v>
      </c>
      <c r="N186" s="4">
        <f t="shared" si="8"/>
        <v>26</v>
      </c>
      <c r="P186" s="53">
        <f>SUM(690.828-2.6+29.4)*1.333</f>
        <v>956.59812399999987</v>
      </c>
      <c r="R186" s="2" t="s">
        <v>98</v>
      </c>
    </row>
    <row r="187" spans="1:18">
      <c r="A187" s="2"/>
      <c r="B187" s="54">
        <v>42130</v>
      </c>
      <c r="C187" s="3">
        <f>C186</f>
        <v>1289</v>
      </c>
      <c r="D187" s="3">
        <f>D186</f>
        <v>1246</v>
      </c>
      <c r="E187" s="55">
        <f>E186-5</f>
        <v>1117.7900000000009</v>
      </c>
      <c r="F187" s="55">
        <f>F186-5</f>
        <v>1085.0900000000006</v>
      </c>
      <c r="G187" s="56">
        <f>G186-5</f>
        <v>738.82800000000009</v>
      </c>
      <c r="H187" s="56">
        <f>H186-5</f>
        <v>685.8280000000002</v>
      </c>
      <c r="I187" s="3">
        <f>I186+17</f>
        <v>2117</v>
      </c>
      <c r="J187" s="3">
        <f>J186+17</f>
        <v>1935</v>
      </c>
      <c r="K187" s="3"/>
      <c r="M187" s="2">
        <f t="shared" si="9"/>
        <v>950</v>
      </c>
      <c r="N187" s="4">
        <f t="shared" si="8"/>
        <v>-7</v>
      </c>
      <c r="P187" s="53">
        <f>SUM(685.828-2.6+29.4)*1.333</f>
        <v>949.93312399999991</v>
      </c>
    </row>
    <row r="188" spans="1:18">
      <c r="A188" s="2"/>
      <c r="B188" s="54">
        <v>42158</v>
      </c>
      <c r="C188" s="3">
        <f>C187+47</f>
        <v>1336</v>
      </c>
      <c r="D188" s="3">
        <f>D187+47</f>
        <v>1293</v>
      </c>
      <c r="E188" s="55">
        <f>E187+49</f>
        <v>1166.7900000000009</v>
      </c>
      <c r="F188" s="55">
        <f>F187+49</f>
        <v>1134.0900000000006</v>
      </c>
      <c r="G188" s="56">
        <f>G187+42</f>
        <v>780.82800000000009</v>
      </c>
      <c r="H188" s="56">
        <f>H187+42</f>
        <v>727.8280000000002</v>
      </c>
      <c r="I188" s="3">
        <f>I187+100</f>
        <v>2217</v>
      </c>
      <c r="J188" s="3">
        <f>J187+100</f>
        <v>2035</v>
      </c>
      <c r="K188" s="3"/>
      <c r="M188" s="2">
        <f t="shared" si="9"/>
        <v>1006</v>
      </c>
      <c r="N188" s="4">
        <f t="shared" ref="N188:N193" si="10">SUM(M188-M187)</f>
        <v>56</v>
      </c>
      <c r="P188" s="53">
        <f>SUM(727.828-2.6+29.4)*1.333</f>
        <v>1005.9191239999999</v>
      </c>
    </row>
    <row r="189" spans="1:18">
      <c r="A189" s="2"/>
      <c r="B189" s="54">
        <v>42186</v>
      </c>
      <c r="C189" s="3">
        <f>C188+41</f>
        <v>1377</v>
      </c>
      <c r="D189" s="3">
        <f>D188+41</f>
        <v>1334</v>
      </c>
      <c r="E189" s="55">
        <f>E188+4</f>
        <v>1170.7900000000009</v>
      </c>
      <c r="F189" s="55">
        <f>F188+4</f>
        <v>1138.0900000000006</v>
      </c>
      <c r="G189" s="56">
        <f>G188+6</f>
        <v>786.82800000000009</v>
      </c>
      <c r="H189" s="56">
        <f>H188+6</f>
        <v>733.8280000000002</v>
      </c>
      <c r="I189" s="3">
        <f>I188+56</f>
        <v>2273</v>
      </c>
      <c r="J189" s="3">
        <f>J188+56</f>
        <v>2091</v>
      </c>
      <c r="K189" s="3"/>
      <c r="M189" s="2">
        <f t="shared" si="9"/>
        <v>1014</v>
      </c>
      <c r="N189" s="4">
        <f t="shared" si="10"/>
        <v>8</v>
      </c>
      <c r="P189" s="53">
        <f>SUM(733.828-2.6+29.4)*1.333</f>
        <v>1013.9171239999998</v>
      </c>
    </row>
    <row r="190" spans="1:18">
      <c r="A190" s="2"/>
      <c r="B190" s="54">
        <v>42221</v>
      </c>
      <c r="C190" s="3">
        <f>C189-51</f>
        <v>1326</v>
      </c>
      <c r="D190" s="3">
        <f>D189-51</f>
        <v>1283</v>
      </c>
      <c r="E190" s="55">
        <f>E189-75.82</f>
        <v>1094.9700000000009</v>
      </c>
      <c r="F190" s="55">
        <f>F189-75.82</f>
        <v>1062.2700000000007</v>
      </c>
      <c r="G190" s="56">
        <f>G189-70</f>
        <v>716.82800000000009</v>
      </c>
      <c r="H190" s="56">
        <f>H189-70</f>
        <v>663.8280000000002</v>
      </c>
      <c r="I190" s="3">
        <f>I189-89</f>
        <v>2184</v>
      </c>
      <c r="J190" s="3">
        <f>J189-89</f>
        <v>2002</v>
      </c>
      <c r="K190" s="3"/>
      <c r="M190" s="2">
        <f t="shared" si="9"/>
        <v>921</v>
      </c>
      <c r="N190" s="4">
        <f t="shared" si="10"/>
        <v>-93</v>
      </c>
      <c r="P190" s="53">
        <f>SUM(663.828-2.6+29.4)*1.333</f>
        <v>920.60712399999989</v>
      </c>
    </row>
    <row r="191" spans="1:18">
      <c r="A191" s="2"/>
      <c r="B191" s="54">
        <v>42249</v>
      </c>
      <c r="C191" s="3">
        <f>C190-69</f>
        <v>1257</v>
      </c>
      <c r="D191" s="3">
        <f>D190-69</f>
        <v>1214</v>
      </c>
      <c r="E191" s="55">
        <f>E190-54</f>
        <v>1040.9700000000009</v>
      </c>
      <c r="F191" s="55">
        <f>F190-54</f>
        <v>1008.2700000000007</v>
      </c>
      <c r="G191" s="56">
        <f>G190-55</f>
        <v>661.82800000000009</v>
      </c>
      <c r="H191" s="56">
        <f>H190-55</f>
        <v>608.8280000000002</v>
      </c>
      <c r="I191" s="3">
        <f>I190-115</f>
        <v>2069</v>
      </c>
      <c r="J191" s="3">
        <f>J190-115</f>
        <v>1887</v>
      </c>
      <c r="K191" s="3"/>
      <c r="M191" s="2">
        <f t="shared" si="9"/>
        <v>847</v>
      </c>
      <c r="N191" s="4">
        <f t="shared" si="10"/>
        <v>-74</v>
      </c>
      <c r="P191" s="53">
        <f>SUM(608.828-2.6+29.4)*1.333</f>
        <v>847.29212399999983</v>
      </c>
    </row>
    <row r="192" spans="1:18">
      <c r="A192" s="2"/>
      <c r="B192" s="54">
        <v>42284</v>
      </c>
      <c r="C192" s="3">
        <f>C191+4</f>
        <v>1261</v>
      </c>
      <c r="D192" s="3">
        <f>D191+4</f>
        <v>1218</v>
      </c>
      <c r="E192" s="55">
        <f>E191+53</f>
        <v>1093.9700000000009</v>
      </c>
      <c r="F192" s="55">
        <f>F191+53</f>
        <v>1061.2700000000007</v>
      </c>
      <c r="G192" s="56">
        <f>G191+50</f>
        <v>711.82800000000009</v>
      </c>
      <c r="H192" s="56">
        <f>H191+50</f>
        <v>658.8280000000002</v>
      </c>
      <c r="I192" s="3">
        <f>I191+11</f>
        <v>2080</v>
      </c>
      <c r="J192" s="3">
        <f>J191+11</f>
        <v>1898</v>
      </c>
      <c r="K192" s="3"/>
      <c r="M192" s="2">
        <f t="shared" ref="M192:M196" si="11">ROUND((H192-2.6+29.4)*1.333,0)</f>
        <v>914</v>
      </c>
      <c r="N192" s="4">
        <f t="shared" si="10"/>
        <v>67</v>
      </c>
      <c r="P192" s="53">
        <f>SUM(658.828-2.6+29.4)*1.333</f>
        <v>913.94212399999992</v>
      </c>
    </row>
    <row r="193" spans="1:17">
      <c r="A193" s="2"/>
      <c r="B193" s="54">
        <v>42312</v>
      </c>
      <c r="C193" s="3">
        <f>C192-22</f>
        <v>1239</v>
      </c>
      <c r="D193" s="3">
        <f>D192-22</f>
        <v>1196</v>
      </c>
      <c r="E193" s="55">
        <f>E192-9</f>
        <v>1084.9700000000009</v>
      </c>
      <c r="F193" s="55">
        <f>F192-9</f>
        <v>1052.2700000000007</v>
      </c>
      <c r="G193" s="56">
        <f>G192-2</f>
        <v>709.82800000000009</v>
      </c>
      <c r="H193" s="56">
        <f>H192-2</f>
        <v>656.8280000000002</v>
      </c>
      <c r="I193" s="3">
        <f>I192-47</f>
        <v>2033</v>
      </c>
      <c r="J193" s="3">
        <f>J192-47</f>
        <v>1851</v>
      </c>
      <c r="K193" s="3"/>
      <c r="M193" s="2">
        <f t="shared" si="11"/>
        <v>911</v>
      </c>
      <c r="N193" s="4">
        <f t="shared" si="10"/>
        <v>-3</v>
      </c>
      <c r="P193" s="53">
        <f>SUM(656.828-2.6+29.4)*1.333</f>
        <v>911.27612399999987</v>
      </c>
    </row>
    <row r="194" spans="1:17">
      <c r="A194" s="2"/>
      <c r="B194" s="54">
        <v>42340</v>
      </c>
      <c r="C194" s="3">
        <f>C193+1</f>
        <v>1240</v>
      </c>
      <c r="D194" s="3">
        <f>D193+1</f>
        <v>1197</v>
      </c>
      <c r="E194" s="55">
        <f>E193-3.8</f>
        <v>1081.170000000001</v>
      </c>
      <c r="F194" s="55">
        <f>F193-3.8</f>
        <v>1048.4700000000007</v>
      </c>
      <c r="G194" s="56">
        <f>G193+0.2</f>
        <v>710.02800000000013</v>
      </c>
      <c r="H194" s="56">
        <f>H193+0.2</f>
        <v>657.02800000000025</v>
      </c>
      <c r="I194" s="3">
        <f>I193-4</f>
        <v>2029</v>
      </c>
      <c r="J194" s="3">
        <f>J193-4</f>
        <v>1847</v>
      </c>
      <c r="K194" s="3"/>
      <c r="M194" s="2">
        <f t="shared" si="11"/>
        <v>912</v>
      </c>
      <c r="N194" s="4">
        <f t="shared" ref="N194" si="12">SUM(M194-M193)</f>
        <v>1</v>
      </c>
      <c r="P194" s="53">
        <f>SUM(657.028-2.6+29.4)*1.333</f>
        <v>911.54272399999991</v>
      </c>
    </row>
    <row r="195" spans="1:17">
      <c r="A195" s="2"/>
      <c r="B195" s="54">
        <v>42375</v>
      </c>
      <c r="C195" s="3">
        <f>C194-3</f>
        <v>1237</v>
      </c>
      <c r="D195" s="3">
        <f>D194-3</f>
        <v>1194</v>
      </c>
      <c r="E195" s="55">
        <f>E194-76</f>
        <v>1005.170000000001</v>
      </c>
      <c r="F195" s="55">
        <f>F194-76</f>
        <v>972.47000000000071</v>
      </c>
      <c r="G195" s="56">
        <f>G194-63</f>
        <v>647.02800000000013</v>
      </c>
      <c r="H195" s="56">
        <f>H194-63</f>
        <v>594.02800000000025</v>
      </c>
      <c r="I195" s="3">
        <f>I194+45</f>
        <v>2074</v>
      </c>
      <c r="J195" s="3">
        <f>J194+45</f>
        <v>1892</v>
      </c>
      <c r="K195" s="3"/>
      <c r="M195" s="2">
        <f t="shared" si="11"/>
        <v>828</v>
      </c>
      <c r="N195" s="4">
        <f t="shared" ref="N195" si="13">SUM(M195-M194)</f>
        <v>-84</v>
      </c>
      <c r="P195" s="53">
        <f>SUM(594.028-2.6+29.4)*1.333</f>
        <v>827.56372399999998</v>
      </c>
    </row>
    <row r="196" spans="1:17">
      <c r="A196" s="2"/>
      <c r="B196" s="54">
        <v>42403</v>
      </c>
      <c r="C196" s="3">
        <f>C195+6</f>
        <v>1243</v>
      </c>
      <c r="D196" s="3">
        <f>D195+6</f>
        <v>1200</v>
      </c>
      <c r="E196" s="55">
        <f>E195-62</f>
        <v>943.17000000000098</v>
      </c>
      <c r="F196" s="55">
        <f>F195-62</f>
        <v>910.47000000000071</v>
      </c>
      <c r="G196" s="56">
        <f>G195-59</f>
        <v>588.02800000000013</v>
      </c>
      <c r="H196" s="56">
        <f>H195-59</f>
        <v>535.02800000000025</v>
      </c>
      <c r="I196" s="3">
        <f>I195+1</f>
        <v>2075</v>
      </c>
      <c r="J196" s="3">
        <f>J195+1</f>
        <v>1893</v>
      </c>
      <c r="K196" s="3"/>
      <c r="M196" s="2">
        <f t="shared" si="11"/>
        <v>749</v>
      </c>
      <c r="N196" s="4">
        <f t="shared" ref="N196" si="14">SUM(M196-M195)</f>
        <v>-79</v>
      </c>
      <c r="P196" s="53">
        <f>SUM(535.028-2.6+29.4)*1.333</f>
        <v>748.91672399999993</v>
      </c>
    </row>
    <row r="197" spans="1:17">
      <c r="A197" s="2"/>
      <c r="B197" s="54">
        <v>42431</v>
      </c>
      <c r="C197" s="3">
        <f>C196-69</f>
        <v>1174</v>
      </c>
      <c r="D197" s="3">
        <f>D196-69</f>
        <v>1131</v>
      </c>
      <c r="E197" s="55">
        <f>E196+15</f>
        <v>958.17000000000098</v>
      </c>
      <c r="F197" s="55">
        <f>F196+15</f>
        <v>925.47000000000071</v>
      </c>
      <c r="G197" s="56">
        <f>G196+17</f>
        <v>605.02800000000013</v>
      </c>
      <c r="H197" s="56">
        <f>H196+17</f>
        <v>552.02800000000025</v>
      </c>
      <c r="I197" s="3">
        <f>I196-120</f>
        <v>1955</v>
      </c>
      <c r="J197" s="3">
        <f>J196-120</f>
        <v>1773</v>
      </c>
      <c r="K197" s="3"/>
      <c r="M197" s="2">
        <f>ROUND((H197-2.6+29.4)*1.333,0)</f>
        <v>772</v>
      </c>
      <c r="N197" s="4">
        <f t="shared" ref="N197:N202" si="15">SUM(M197-M196)</f>
        <v>23</v>
      </c>
      <c r="P197" s="53">
        <f>SUM(552.028-2.6+29.4)*1.333</f>
        <v>771.57772399999999</v>
      </c>
    </row>
    <row r="198" spans="1:17">
      <c r="A198" s="2"/>
      <c r="B198" s="54">
        <v>42466</v>
      </c>
      <c r="C198" s="3">
        <f>C197+88</f>
        <v>1262</v>
      </c>
      <c r="D198" s="3">
        <f>D197+83</f>
        <v>1214</v>
      </c>
      <c r="E198" s="55">
        <f>E197+95.7</f>
        <v>1053.870000000001</v>
      </c>
      <c r="F198" s="55">
        <f>F197+90</f>
        <v>1015.4700000000007</v>
      </c>
      <c r="G198" s="56">
        <f>G197+57.6</f>
        <v>662.62800000000016</v>
      </c>
      <c r="H198" s="56">
        <f>H197+56</f>
        <v>608.02800000000025</v>
      </c>
      <c r="I198" s="3">
        <f>I197+110</f>
        <v>2065</v>
      </c>
      <c r="J198" s="3">
        <f>J197+110</f>
        <v>1883</v>
      </c>
      <c r="K198" s="3"/>
      <c r="M198" s="2">
        <f t="shared" ref="M198:M202" si="16">ROUND((H198-2.6+31)*1.333,0)</f>
        <v>848</v>
      </c>
      <c r="N198" s="4">
        <f t="shared" si="15"/>
        <v>76</v>
      </c>
      <c r="P198" s="53">
        <f>SUM(607.128-2.6+31)*1.333</f>
        <v>847.15882399999998</v>
      </c>
    </row>
    <row r="199" spans="1:17">
      <c r="A199" s="2"/>
      <c r="B199" s="54">
        <v>42494</v>
      </c>
      <c r="C199" s="3">
        <f>C198+12</f>
        <v>1274</v>
      </c>
      <c r="D199" s="3">
        <f>D198+12</f>
        <v>1226</v>
      </c>
      <c r="E199" s="55">
        <f>E198-1</f>
        <v>1052.870000000001</v>
      </c>
      <c r="F199" s="55">
        <f>F198-1</f>
        <v>1014.4700000000007</v>
      </c>
      <c r="G199" s="56">
        <f>G198-7</f>
        <v>655.62800000000016</v>
      </c>
      <c r="H199" s="56">
        <f>H198-7</f>
        <v>601.02800000000025</v>
      </c>
      <c r="I199" s="3">
        <f>I198-5</f>
        <v>2060</v>
      </c>
      <c r="J199" s="3">
        <f>J198-6</f>
        <v>1877</v>
      </c>
      <c r="K199" s="3"/>
      <c r="M199" s="2">
        <f t="shared" si="16"/>
        <v>839</v>
      </c>
      <c r="N199" s="4">
        <f t="shared" si="15"/>
        <v>-9</v>
      </c>
      <c r="P199" s="53">
        <f>SUM(601.028-2.6+31)*1.333</f>
        <v>839.02752399999997</v>
      </c>
    </row>
    <row r="200" spans="1:17">
      <c r="A200" s="2"/>
      <c r="B200" s="54">
        <v>42522</v>
      </c>
      <c r="C200" s="3">
        <f>C199+52</f>
        <v>1326</v>
      </c>
      <c r="D200" s="3">
        <f>D199+52</f>
        <v>1278</v>
      </c>
      <c r="E200" s="55">
        <f>E199+76</f>
        <v>1128.870000000001</v>
      </c>
      <c r="F200" s="55">
        <f>F199+76</f>
        <v>1090.4700000000007</v>
      </c>
      <c r="G200" s="56">
        <f>G199+62</f>
        <v>717.62800000000016</v>
      </c>
      <c r="H200" s="56">
        <f>H199+62</f>
        <v>663.02800000000025</v>
      </c>
      <c r="I200" s="3">
        <f>I199+98</f>
        <v>2158</v>
      </c>
      <c r="J200" s="3">
        <f>J199+99</f>
        <v>1976</v>
      </c>
      <c r="K200" s="3"/>
      <c r="M200" s="2">
        <f t="shared" si="16"/>
        <v>922</v>
      </c>
      <c r="N200" s="4">
        <f t="shared" si="15"/>
        <v>83</v>
      </c>
      <c r="P200" s="53">
        <f>SUM(663.028-2.6+31)*1.333</f>
        <v>921.67352399999993</v>
      </c>
    </row>
    <row r="201" spans="1:17">
      <c r="A201" s="2"/>
      <c r="B201" s="54">
        <v>42557</v>
      </c>
      <c r="C201" s="3">
        <f>C200+8</f>
        <v>1334</v>
      </c>
      <c r="D201" s="3">
        <f>D200+8</f>
        <v>1286</v>
      </c>
      <c r="E201" s="55">
        <f>E200+42</f>
        <v>1170.870000000001</v>
      </c>
      <c r="F201" s="55">
        <f>F200+42</f>
        <v>1132.4700000000007</v>
      </c>
      <c r="G201" s="56">
        <f>G200+43</f>
        <v>760.62800000000016</v>
      </c>
      <c r="H201" s="56">
        <f>H200+43</f>
        <v>706.02800000000025</v>
      </c>
      <c r="I201" s="3">
        <f>I200+12</f>
        <v>2170</v>
      </c>
      <c r="J201" s="3">
        <f>J200+12</f>
        <v>1988</v>
      </c>
      <c r="K201" s="3"/>
      <c r="M201" s="2">
        <f t="shared" si="16"/>
        <v>979</v>
      </c>
      <c r="N201" s="4">
        <f t="shared" si="15"/>
        <v>57</v>
      </c>
      <c r="P201" s="53">
        <f>SUM(706.028-2.6+31)*1.333</f>
        <v>978.992524</v>
      </c>
    </row>
    <row r="202" spans="1:17">
      <c r="A202" s="2"/>
      <c r="B202" s="68">
        <v>42585</v>
      </c>
      <c r="C202" s="3">
        <f>C201-99</f>
        <v>1235</v>
      </c>
      <c r="D202" s="3">
        <f>D201-99</f>
        <v>1187</v>
      </c>
      <c r="E202" s="55">
        <f>E201-74</f>
        <v>1096.870000000001</v>
      </c>
      <c r="F202" s="55">
        <f>F201-74</f>
        <v>1058.4700000000007</v>
      </c>
      <c r="G202" s="56">
        <f>G201-66</f>
        <v>694.62800000000016</v>
      </c>
      <c r="H202" s="56">
        <f>H201-66</f>
        <v>640.02800000000025</v>
      </c>
      <c r="I202" s="69">
        <f>I201-160</f>
        <v>2010</v>
      </c>
      <c r="J202" s="69">
        <f>J201-160</f>
        <v>1828</v>
      </c>
      <c r="M202" s="2">
        <f t="shared" si="16"/>
        <v>891</v>
      </c>
      <c r="N202" s="4">
        <f t="shared" si="15"/>
        <v>-88</v>
      </c>
      <c r="P202" s="53">
        <f>SUM(640.028-2.6+31)*1.333</f>
        <v>891.01452399999994</v>
      </c>
    </row>
    <row r="203" spans="1:17">
      <c r="A203" s="2"/>
      <c r="B203" s="68">
        <v>42620</v>
      </c>
      <c r="C203" s="3">
        <f>C202-18</f>
        <v>1217</v>
      </c>
      <c r="D203" s="3">
        <f>D202-18</f>
        <v>1169</v>
      </c>
      <c r="E203" s="55">
        <f>E202-48</f>
        <v>1048.870000000001</v>
      </c>
      <c r="F203" s="55">
        <f>F202-48</f>
        <v>1010.4700000000007</v>
      </c>
      <c r="G203" s="56">
        <f>G202-47</f>
        <v>647.62800000000016</v>
      </c>
      <c r="H203" s="56">
        <f>H202-47</f>
        <v>593.02800000000025</v>
      </c>
      <c r="I203" s="69">
        <f>I202-9</f>
        <v>2001</v>
      </c>
      <c r="J203" s="69">
        <f>J202-9</f>
        <v>1819</v>
      </c>
      <c r="M203" s="2">
        <f t="shared" ref="M203:M207" si="17">ROUND((H203-2.6+31)*1.333,0)</f>
        <v>828</v>
      </c>
      <c r="N203" s="4">
        <f t="shared" ref="N203" si="18">SUM(M203-M202)</f>
        <v>-63</v>
      </c>
      <c r="P203" s="53">
        <f>SUM(593.028-2.6+31)*1.333</f>
        <v>828.36352399999998</v>
      </c>
    </row>
    <row r="204" spans="1:17">
      <c r="A204" s="2"/>
      <c r="B204" s="68">
        <v>42648</v>
      </c>
      <c r="C204" s="3">
        <f>C203+43</f>
        <v>1260</v>
      </c>
      <c r="D204" s="3">
        <f>D203+43</f>
        <v>1212</v>
      </c>
      <c r="E204" s="55">
        <f>E203+23</f>
        <v>1071.870000000001</v>
      </c>
      <c r="F204" s="55">
        <f>F203+23</f>
        <v>1033.4700000000007</v>
      </c>
      <c r="G204" s="56">
        <f>G203+22</f>
        <v>669.62800000000016</v>
      </c>
      <c r="H204" s="56">
        <f>H203+22</f>
        <v>615.02800000000025</v>
      </c>
      <c r="I204" s="69">
        <f>I203+58</f>
        <v>2059</v>
      </c>
      <c r="J204" s="69">
        <f>J203+58</f>
        <v>1877</v>
      </c>
      <c r="M204" s="2">
        <f t="shared" si="17"/>
        <v>858</v>
      </c>
      <c r="N204" s="4">
        <f t="shared" ref="N204" si="19">SUM(M204-M203)</f>
        <v>30</v>
      </c>
      <c r="P204" s="53">
        <f>SUM(615.028-2.6+31)*1.333</f>
        <v>857.68952400000001</v>
      </c>
    </row>
    <row r="205" spans="1:17">
      <c r="A205" s="2"/>
      <c r="B205" s="68">
        <v>42676</v>
      </c>
      <c r="C205" s="3">
        <f>C204+45</f>
        <v>1305</v>
      </c>
      <c r="D205" s="3">
        <f>D204+45</f>
        <v>1257</v>
      </c>
      <c r="E205" s="55">
        <f>E204+63</f>
        <v>1134.870000000001</v>
      </c>
      <c r="F205" s="55">
        <f>F204+63</f>
        <v>1096.4700000000007</v>
      </c>
      <c r="G205" s="56">
        <f>G204+57</f>
        <v>726.62800000000016</v>
      </c>
      <c r="H205" s="56">
        <f>H204+57</f>
        <v>672.02800000000025</v>
      </c>
      <c r="I205" s="69">
        <f>I204+59</f>
        <v>2118</v>
      </c>
      <c r="J205" s="69">
        <f>J204+59</f>
        <v>1936</v>
      </c>
      <c r="M205" s="2">
        <f t="shared" si="17"/>
        <v>934</v>
      </c>
      <c r="N205" s="4">
        <f t="shared" ref="N205" si="20">SUM(M205-M204)</f>
        <v>76</v>
      </c>
      <c r="P205" s="53">
        <f>SUM(672.028-2.6+31)*1.333</f>
        <v>933.670524</v>
      </c>
      <c r="Q205" s="53"/>
    </row>
    <row r="206" spans="1:17">
      <c r="A206" s="2"/>
      <c r="B206" s="68">
        <v>42711</v>
      </c>
      <c r="C206" s="3">
        <f>C205-20</f>
        <v>1285</v>
      </c>
      <c r="D206" s="3">
        <f>D205-20</f>
        <v>1237</v>
      </c>
      <c r="E206" s="55">
        <f>E205-32.04</f>
        <v>1102.8300000000011</v>
      </c>
      <c r="F206" s="55">
        <f>F205-32.04</f>
        <v>1064.4300000000007</v>
      </c>
      <c r="G206" s="56">
        <f>G205-28.04</f>
        <v>698.58800000000019</v>
      </c>
      <c r="H206" s="56">
        <f>H205-28.04</f>
        <v>643.98800000000028</v>
      </c>
      <c r="I206" s="69">
        <f>I205-17</f>
        <v>2101</v>
      </c>
      <c r="J206" s="69">
        <f>J205-23</f>
        <v>1913</v>
      </c>
      <c r="M206" s="2">
        <f t="shared" si="17"/>
        <v>896</v>
      </c>
      <c r="N206" s="4">
        <f t="shared" ref="N206" si="21">SUM(M206-M205)</f>
        <v>-38</v>
      </c>
      <c r="P206" s="53">
        <f>SUM(643.988-2.6+31)*1.333</f>
        <v>896.29320400000006</v>
      </c>
    </row>
    <row r="207" spans="1:17">
      <c r="A207" s="2"/>
      <c r="B207" s="68">
        <v>42739</v>
      </c>
      <c r="C207" s="3">
        <f>C206+48</f>
        <v>1333</v>
      </c>
      <c r="D207" s="3">
        <f>D206+48</f>
        <v>1285</v>
      </c>
      <c r="E207" s="55">
        <f>E206+39</f>
        <v>1141.8300000000011</v>
      </c>
      <c r="F207" s="55">
        <f>F206+39</f>
        <v>1103.4300000000007</v>
      </c>
      <c r="G207" s="56">
        <f>G206+43</f>
        <v>741.58800000000019</v>
      </c>
      <c r="H207" s="56">
        <f>H206+43</f>
        <v>686.98800000000028</v>
      </c>
      <c r="I207" s="69">
        <f>I206+106</f>
        <v>2207</v>
      </c>
      <c r="J207" s="69">
        <f>J206+106</f>
        <v>2019</v>
      </c>
      <c r="M207" s="2">
        <f t="shared" si="17"/>
        <v>954</v>
      </c>
      <c r="N207" s="4">
        <f t="shared" ref="N207:N212" si="22">SUM(M207-M206)</f>
        <v>58</v>
      </c>
      <c r="P207" s="53">
        <f>SUM(686.988-2.6+31)*1.333</f>
        <v>953.61220400000002</v>
      </c>
    </row>
    <row r="208" spans="1:17">
      <c r="A208" s="2"/>
      <c r="B208" s="68">
        <v>42767</v>
      </c>
      <c r="C208" s="3">
        <f>C207+29</f>
        <v>1362</v>
      </c>
      <c r="D208" s="3">
        <f>D207+29</f>
        <v>1314</v>
      </c>
      <c r="E208" s="55">
        <f>E207+21</f>
        <v>1162.8300000000011</v>
      </c>
      <c r="F208" s="55">
        <f>F207+21</f>
        <v>1124.4300000000007</v>
      </c>
      <c r="G208" s="56">
        <f>G207+17</f>
        <v>758.58800000000019</v>
      </c>
      <c r="H208" s="56">
        <f>H207+17</f>
        <v>703.98800000000028</v>
      </c>
      <c r="I208" s="69">
        <f>I207+21</f>
        <v>2228</v>
      </c>
      <c r="J208" s="69">
        <f>J207+21</f>
        <v>2040</v>
      </c>
      <c r="M208" s="2">
        <f>ROUND((H208-2.6+31)*1.333,0)</f>
        <v>976</v>
      </c>
      <c r="N208" s="4">
        <f t="shared" si="22"/>
        <v>22</v>
      </c>
      <c r="P208" s="53">
        <f>SUM(703.988-2.6+31)*1.333</f>
        <v>976.27320399999996</v>
      </c>
    </row>
    <row r="209" spans="1:16">
      <c r="A209" s="2"/>
      <c r="B209" s="68">
        <v>42795</v>
      </c>
      <c r="C209" s="3">
        <f>C208-8</f>
        <v>1354</v>
      </c>
      <c r="D209" s="3">
        <f>D208-8</f>
        <v>1306</v>
      </c>
      <c r="E209" s="55">
        <f>E208-2</f>
        <v>1160.8300000000011</v>
      </c>
      <c r="F209" s="55">
        <f>F208-2</f>
        <v>1122.4300000000007</v>
      </c>
      <c r="G209" s="56">
        <f>G208-8</f>
        <v>750.58800000000019</v>
      </c>
      <c r="H209" s="56">
        <f>H208-8</f>
        <v>695.98800000000028</v>
      </c>
      <c r="I209" s="69">
        <f>I208-2</f>
        <v>2226</v>
      </c>
      <c r="J209" s="69">
        <f>J208-2</f>
        <v>2038</v>
      </c>
      <c r="M209" s="2">
        <f>ROUND((H209-2.6+31)*1.333,0)</f>
        <v>966</v>
      </c>
      <c r="N209" s="4">
        <f t="shared" si="22"/>
        <v>-10</v>
      </c>
      <c r="P209" s="53">
        <f>SUM(695.988-2.6+31)*1.333</f>
        <v>965.60920399999998</v>
      </c>
    </row>
    <row r="210" spans="1:16">
      <c r="A210" s="2"/>
      <c r="B210" s="68">
        <v>42830</v>
      </c>
      <c r="C210" s="3">
        <f>C209-24</f>
        <v>1330</v>
      </c>
      <c r="D210" s="3">
        <f>D209-25</f>
        <v>1281</v>
      </c>
      <c r="E210" s="55">
        <f>E209-10.5</f>
        <v>1150.3300000000011</v>
      </c>
      <c r="F210" s="55">
        <f>F209-10.8</f>
        <v>1111.6300000000008</v>
      </c>
      <c r="G210" s="56">
        <f>G209-48.5</f>
        <v>702.08800000000019</v>
      </c>
      <c r="H210" s="56">
        <f>H209-51.8</f>
        <v>644.18800000000033</v>
      </c>
      <c r="I210" s="69">
        <f>I209-101</f>
        <v>2125</v>
      </c>
      <c r="J210" s="69">
        <f>J209-101</f>
        <v>1937</v>
      </c>
      <c r="M210" s="2">
        <f>ROUND((H210-2.8+34.88)*1.333,0)</f>
        <v>901</v>
      </c>
      <c r="N210" s="4">
        <f t="shared" si="22"/>
        <v>-65</v>
      </c>
      <c r="P210" s="53">
        <f>SUM(644.188-2.8+34.88)*1.333</f>
        <v>901.46524399999998</v>
      </c>
    </row>
    <row r="211" spans="1:16">
      <c r="A211" s="2"/>
      <c r="B211" s="68">
        <v>42858</v>
      </c>
      <c r="C211" s="3">
        <f>C210+49</f>
        <v>1379</v>
      </c>
      <c r="D211" s="3">
        <f>D210+49</f>
        <v>1330</v>
      </c>
      <c r="E211" s="55">
        <f>E210+30</f>
        <v>1180.3300000000011</v>
      </c>
      <c r="F211" s="55">
        <f>F210+30</f>
        <v>1141.6300000000008</v>
      </c>
      <c r="G211" s="56">
        <f>G210+34</f>
        <v>736.08800000000019</v>
      </c>
      <c r="H211" s="56">
        <f>H210+34</f>
        <v>678.18800000000033</v>
      </c>
      <c r="I211" s="69">
        <f>I210+96</f>
        <v>2221</v>
      </c>
      <c r="J211" s="69">
        <f>J210+95</f>
        <v>2032</v>
      </c>
      <c r="M211" s="2">
        <f>ROUND((H211-2.8+34.88)*1.333,0)</f>
        <v>947</v>
      </c>
      <c r="N211" s="4">
        <f t="shared" si="22"/>
        <v>46</v>
      </c>
      <c r="P211" s="53">
        <f>SUM(678.188-2.8+34.88)*1.333</f>
        <v>946.78724399999999</v>
      </c>
    </row>
    <row r="212" spans="1:16">
      <c r="A212" s="2"/>
      <c r="B212" s="68">
        <v>42893</v>
      </c>
      <c r="C212" s="3">
        <f>C211-25</f>
        <v>1354</v>
      </c>
      <c r="D212" s="3">
        <f>D211-25</f>
        <v>1305</v>
      </c>
      <c r="E212" s="55">
        <f>E211-23</f>
        <v>1157.3300000000011</v>
      </c>
      <c r="F212" s="55">
        <f>F211-23</f>
        <v>1118.6300000000008</v>
      </c>
      <c r="G212" s="56">
        <f>G211-22</f>
        <v>714.08800000000019</v>
      </c>
      <c r="H212" s="56">
        <f>H211-22</f>
        <v>656.18800000000033</v>
      </c>
      <c r="I212" s="69">
        <f>I211-77</f>
        <v>2144</v>
      </c>
      <c r="J212" s="69">
        <f>J211-77</f>
        <v>1955</v>
      </c>
      <c r="M212" s="2">
        <f>ROUND((H212-2.8+34.88)*1.333,0)</f>
        <v>917</v>
      </c>
      <c r="N212" s="4">
        <f t="shared" si="22"/>
        <v>-30</v>
      </c>
      <c r="P212" s="53">
        <f>SUM(656.188-2.8+34.88)*1.333</f>
        <v>917.46124399999997</v>
      </c>
    </row>
    <row r="213" spans="1:16">
      <c r="A213" s="2"/>
      <c r="B213" s="68">
        <v>42921</v>
      </c>
      <c r="C213" s="3">
        <f>1354-68</f>
        <v>1286</v>
      </c>
      <c r="D213" s="3">
        <f>1305-68</f>
        <v>1237</v>
      </c>
      <c r="E213" s="55">
        <f>1157.33-60</f>
        <v>1097.33</v>
      </c>
      <c r="F213" s="55">
        <f>1118.63-60</f>
        <v>1058.6300000000001</v>
      </c>
      <c r="G213" s="56">
        <f>714.088-57</f>
        <v>657.08799999999997</v>
      </c>
      <c r="H213" s="56">
        <f>656.188-57</f>
        <v>599.18799999999999</v>
      </c>
      <c r="I213" s="69">
        <f>2144-92</f>
        <v>2052</v>
      </c>
      <c r="J213" s="69">
        <f>1955-91</f>
        <v>1864</v>
      </c>
      <c r="M213" s="2">
        <f>ROUND((H213-2.8+34.88)*1.333,0)</f>
        <v>841</v>
      </c>
      <c r="N213" s="4">
        <f t="shared" ref="N213" si="23">SUM(M213-M212)</f>
        <v>-76</v>
      </c>
      <c r="P213" s="53">
        <f>SUM(599.188-2.8+34.88)*1.333</f>
        <v>841.48024399999997</v>
      </c>
    </row>
    <row r="214" spans="1:16">
      <c r="A214" s="2"/>
      <c r="C214" s="3"/>
      <c r="D214" s="3"/>
      <c r="E214" s="3"/>
      <c r="F214" s="3"/>
      <c r="I214" s="3"/>
    </row>
    <row r="215" spans="1:16">
      <c r="A215" s="2"/>
      <c r="C215" s="3"/>
      <c r="D215" s="3"/>
      <c r="E215" s="3"/>
      <c r="F215" s="3"/>
      <c r="I215" s="3"/>
    </row>
    <row r="216" spans="1:16">
      <c r="A216" s="2"/>
      <c r="C216" s="3"/>
      <c r="D216" s="3"/>
      <c r="E216" s="3"/>
      <c r="F216" s="3"/>
      <c r="I216" s="3"/>
    </row>
    <row r="217" spans="1:16">
      <c r="A217" s="2"/>
      <c r="C217" s="3"/>
      <c r="D217" s="3"/>
      <c r="E217" s="3"/>
      <c r="F217" s="3"/>
      <c r="I217" s="3"/>
    </row>
    <row r="218" spans="1:16">
      <c r="A218" s="2"/>
      <c r="C218" s="3"/>
      <c r="D218" s="3"/>
      <c r="E218" s="3"/>
      <c r="F218" s="3"/>
      <c r="I218" s="3"/>
    </row>
    <row r="219" spans="1:16">
      <c r="A219" s="2"/>
      <c r="C219" s="3"/>
      <c r="D219" s="3"/>
      <c r="E219" s="3"/>
      <c r="F219" s="3"/>
      <c r="I219" s="3"/>
    </row>
    <row r="220" spans="1:16">
      <c r="A220" s="2"/>
      <c r="C220" s="3"/>
      <c r="D220" s="3"/>
      <c r="E220" s="3"/>
      <c r="F220" s="3"/>
      <c r="I220" s="3"/>
    </row>
    <row r="221" spans="1:16">
      <c r="A221" s="2"/>
      <c r="C221" s="3"/>
      <c r="D221" s="3"/>
      <c r="E221" s="3"/>
      <c r="F221" s="3"/>
      <c r="G221" s="3"/>
      <c r="H221" s="3"/>
      <c r="I221" s="3"/>
    </row>
    <row r="222" spans="1:16">
      <c r="A222" s="2"/>
      <c r="C222" s="3"/>
      <c r="D222" s="3"/>
      <c r="E222" s="3"/>
      <c r="F222" s="3"/>
      <c r="G222" s="3"/>
      <c r="H222" s="3"/>
      <c r="I222" s="3"/>
    </row>
    <row r="223" spans="1:16">
      <c r="A223" s="2"/>
      <c r="C223" s="3"/>
      <c r="D223" s="3"/>
      <c r="E223" s="3"/>
      <c r="F223" s="3"/>
      <c r="G223" s="3"/>
      <c r="H223" s="3"/>
      <c r="I223" s="3"/>
    </row>
    <row r="224" spans="1:16">
      <c r="A224" s="2"/>
      <c r="C224" s="3"/>
      <c r="D224" s="3"/>
      <c r="E224" s="3"/>
      <c r="F224" s="3"/>
      <c r="G224" s="3"/>
      <c r="H224" s="3"/>
      <c r="I224" s="3"/>
    </row>
    <row r="225" spans="1:9">
      <c r="A225" s="2"/>
      <c r="C225" s="3"/>
      <c r="D225" s="3"/>
      <c r="E225" s="3"/>
      <c r="F225" s="3"/>
      <c r="G225" s="3"/>
      <c r="H225" s="3"/>
      <c r="I225" s="3"/>
    </row>
    <row r="226" spans="1:9">
      <c r="A226" s="2"/>
      <c r="C226" s="3"/>
      <c r="D226" s="3"/>
      <c r="E226" s="3"/>
      <c r="F226" s="3"/>
      <c r="G226" s="3"/>
      <c r="H226" s="3"/>
      <c r="I226" s="3"/>
    </row>
    <row r="227" spans="1:9">
      <c r="A227" s="2"/>
      <c r="C227" s="3"/>
      <c r="D227" s="3"/>
      <c r="E227" s="3"/>
      <c r="F227" s="3"/>
      <c r="G227" s="3"/>
      <c r="H227" s="3"/>
      <c r="I227" s="3"/>
    </row>
    <row r="228" spans="1:9">
      <c r="A228" s="2"/>
      <c r="C228" s="3"/>
      <c r="D228" s="3"/>
      <c r="E228" s="3"/>
      <c r="F228" s="3"/>
      <c r="G228" s="3"/>
      <c r="H228" s="3"/>
      <c r="I228" s="3"/>
    </row>
    <row r="229" spans="1:9">
      <c r="A229" s="2"/>
      <c r="C229" s="3"/>
      <c r="D229" s="3"/>
      <c r="E229" s="3"/>
      <c r="F229" s="3"/>
      <c r="G229" s="3"/>
      <c r="H229" s="3"/>
      <c r="I229" s="3"/>
    </row>
    <row r="230" spans="1:9">
      <c r="A230" s="2"/>
      <c r="C230" s="3"/>
      <c r="D230" s="3"/>
      <c r="E230" s="3"/>
      <c r="F230" s="3"/>
      <c r="G230" s="3"/>
      <c r="H230" s="3"/>
      <c r="I230" s="3"/>
    </row>
    <row r="231" spans="1:9">
      <c r="A231" s="2"/>
      <c r="C231" s="3"/>
      <c r="D231" s="3"/>
      <c r="E231" s="3"/>
      <c r="F231" s="3"/>
      <c r="G231" s="3"/>
      <c r="H231" s="3"/>
      <c r="I231" s="3"/>
    </row>
    <row r="232" spans="1:9">
      <c r="A232" s="2"/>
      <c r="C232" s="3"/>
      <c r="D232" s="3"/>
      <c r="E232" s="3"/>
      <c r="F232" s="3"/>
      <c r="G232" s="3"/>
      <c r="H232" s="3"/>
      <c r="I232" s="3"/>
    </row>
    <row r="233" spans="1:9">
      <c r="A233" s="2"/>
      <c r="C233" s="3"/>
      <c r="D233" s="3"/>
      <c r="E233" s="3"/>
      <c r="F233" s="3"/>
      <c r="G233" s="3"/>
      <c r="H233" s="3"/>
      <c r="I233" s="3"/>
    </row>
    <row r="234" spans="1:9">
      <c r="A234" s="2"/>
      <c r="C234" s="3"/>
      <c r="D234" s="3"/>
      <c r="E234" s="3"/>
      <c r="F234" s="3"/>
      <c r="G234" s="3"/>
      <c r="H234" s="3"/>
      <c r="I234" s="3"/>
    </row>
    <row r="235" spans="1:9">
      <c r="A235" s="2"/>
      <c r="C235" s="3"/>
      <c r="D235" s="3"/>
      <c r="E235" s="3"/>
      <c r="F235" s="3"/>
      <c r="G235" s="3"/>
      <c r="H235" s="3"/>
      <c r="I235" s="3"/>
    </row>
    <row r="236" spans="1:9">
      <c r="A236" s="2"/>
      <c r="C236" s="3"/>
      <c r="D236" s="3"/>
      <c r="E236" s="3"/>
      <c r="F236" s="3"/>
      <c r="G236" s="3"/>
      <c r="H236" s="3"/>
      <c r="I236" s="3"/>
    </row>
    <row r="237" spans="1:9">
      <c r="A237" s="2"/>
      <c r="C237" s="3"/>
      <c r="D237" s="3"/>
      <c r="E237" s="3"/>
      <c r="F237" s="3"/>
      <c r="G237" s="3"/>
      <c r="H237" s="3"/>
      <c r="I237" s="3"/>
    </row>
    <row r="238" spans="1:9">
      <c r="A238" s="2"/>
      <c r="C238" s="3"/>
      <c r="D238" s="3"/>
      <c r="E238" s="3"/>
      <c r="F238" s="3"/>
      <c r="G238" s="3"/>
      <c r="H238" s="3"/>
      <c r="I238" s="3"/>
    </row>
    <row r="239" spans="1:9">
      <c r="A239" s="2"/>
      <c r="C239" s="3"/>
      <c r="D239" s="3"/>
      <c r="E239" s="3"/>
      <c r="F239" s="3"/>
      <c r="G239" s="3"/>
      <c r="H239" s="3"/>
      <c r="I239" s="3"/>
    </row>
    <row r="240" spans="1:9">
      <c r="A240" s="2"/>
      <c r="C240" s="3"/>
      <c r="D240" s="3"/>
      <c r="E240" s="3"/>
      <c r="F240" s="3"/>
      <c r="G240" s="3"/>
      <c r="H240" s="3"/>
      <c r="I240" s="3"/>
    </row>
    <row r="241" spans="1:9">
      <c r="A241" s="2"/>
      <c r="C241" s="3"/>
      <c r="D241" s="3"/>
      <c r="E241" s="3"/>
      <c r="F241" s="3"/>
      <c r="G241" s="3"/>
      <c r="H241" s="3"/>
      <c r="I241" s="3"/>
    </row>
    <row r="242" spans="1:9">
      <c r="A242" s="2"/>
      <c r="C242" s="3"/>
      <c r="D242" s="3"/>
      <c r="E242" s="3"/>
      <c r="F242" s="3"/>
      <c r="G242" s="3"/>
      <c r="H242" s="3"/>
      <c r="I242" s="3"/>
    </row>
    <row r="243" spans="1:9">
      <c r="A243" s="2"/>
      <c r="C243" s="3"/>
      <c r="D243" s="3"/>
      <c r="E243" s="3"/>
      <c r="F243" s="3"/>
      <c r="G243" s="3"/>
      <c r="H243" s="3"/>
      <c r="I243" s="3"/>
    </row>
    <row r="244" spans="1:9">
      <c r="A244" s="2"/>
      <c r="C244" s="3"/>
      <c r="D244" s="3"/>
      <c r="E244" s="3"/>
      <c r="F244" s="3"/>
      <c r="G244" s="3"/>
      <c r="H244" s="3"/>
      <c r="I244" s="3"/>
    </row>
    <row r="245" spans="1:9">
      <c r="A245" s="2"/>
      <c r="C245" s="3"/>
      <c r="D245" s="3"/>
      <c r="E245" s="3"/>
      <c r="F245" s="3"/>
      <c r="G245" s="3"/>
      <c r="H245" s="3"/>
      <c r="I245" s="3"/>
    </row>
    <row r="246" spans="1:9">
      <c r="A246" s="2"/>
      <c r="C246" s="3"/>
      <c r="D246" s="3"/>
      <c r="E246" s="3"/>
      <c r="F246" s="3"/>
      <c r="G246" s="3"/>
      <c r="H246" s="3"/>
      <c r="I246" s="3"/>
    </row>
    <row r="247" spans="1:9">
      <c r="A247" s="2"/>
      <c r="C247" s="3"/>
      <c r="D247" s="3"/>
      <c r="E247" s="3"/>
      <c r="F247" s="3"/>
      <c r="G247" s="3"/>
      <c r="H247" s="3"/>
      <c r="I247" s="3"/>
    </row>
    <row r="248" spans="1:9">
      <c r="A248" s="2"/>
      <c r="C248" s="3"/>
      <c r="D248" s="3"/>
      <c r="E248" s="3"/>
      <c r="F248" s="3"/>
      <c r="G248" s="3"/>
      <c r="H248" s="3"/>
      <c r="I248" s="3"/>
    </row>
    <row r="249" spans="1:9">
      <c r="A249" s="2"/>
      <c r="C249" s="3"/>
      <c r="D249" s="3"/>
      <c r="E249" s="3"/>
      <c r="F249" s="3"/>
      <c r="G249" s="3"/>
      <c r="H249" s="3"/>
      <c r="I249" s="3"/>
    </row>
    <row r="250" spans="1:9">
      <c r="A250" s="2"/>
      <c r="C250" s="3"/>
      <c r="D250" s="3"/>
      <c r="E250" s="3"/>
      <c r="F250" s="3"/>
      <c r="G250" s="3"/>
      <c r="H250" s="3"/>
      <c r="I250" s="3"/>
    </row>
    <row r="251" spans="1:9">
      <c r="A251" s="2"/>
      <c r="C251" s="3"/>
      <c r="D251" s="3"/>
      <c r="E251" s="3"/>
      <c r="F251" s="3"/>
      <c r="G251" s="3"/>
      <c r="H251" s="3"/>
      <c r="I251" s="3"/>
    </row>
    <row r="252" spans="1:9">
      <c r="A252" s="2"/>
      <c r="C252" s="3"/>
      <c r="D252" s="3"/>
      <c r="E252" s="3"/>
      <c r="F252" s="3"/>
      <c r="G252" s="3"/>
      <c r="H252" s="3"/>
      <c r="I252" s="3"/>
    </row>
    <row r="253" spans="1:9">
      <c r="A253" s="2"/>
      <c r="C253" s="3"/>
      <c r="D253" s="3"/>
      <c r="E253" s="3"/>
      <c r="F253" s="3"/>
      <c r="G253" s="3"/>
      <c r="H253" s="3"/>
      <c r="I253" s="3"/>
    </row>
    <row r="254" spans="1:9">
      <c r="A254" s="2"/>
      <c r="C254" s="3"/>
      <c r="D254" s="3"/>
      <c r="E254" s="3"/>
      <c r="F254" s="3"/>
      <c r="G254" s="3"/>
      <c r="H254" s="3"/>
      <c r="I254" s="3"/>
    </row>
    <row r="255" spans="1:9">
      <c r="A255" s="2"/>
      <c r="C255" s="3"/>
      <c r="D255" s="3"/>
      <c r="E255" s="3"/>
      <c r="F255" s="3"/>
      <c r="G255" s="3"/>
      <c r="H255" s="3"/>
      <c r="I255" s="3"/>
    </row>
    <row r="256" spans="1:9">
      <c r="A256" s="2"/>
      <c r="C256" s="3"/>
      <c r="D256" s="3"/>
      <c r="E256" s="3"/>
      <c r="F256" s="3"/>
      <c r="G256" s="3"/>
      <c r="H256" s="3"/>
      <c r="I256" s="3"/>
    </row>
    <row r="257" spans="1:9">
      <c r="A257" s="2"/>
      <c r="C257" s="3"/>
      <c r="D257" s="3"/>
      <c r="E257" s="3"/>
      <c r="F257" s="3"/>
      <c r="G257" s="3"/>
      <c r="H257" s="3"/>
      <c r="I257" s="3"/>
    </row>
    <row r="258" spans="1:9">
      <c r="A258" s="2"/>
      <c r="C258" s="3"/>
      <c r="D258" s="3"/>
      <c r="E258" s="3"/>
      <c r="F258" s="3"/>
      <c r="G258" s="3"/>
      <c r="H258" s="3"/>
      <c r="I258" s="3"/>
    </row>
    <row r="259" spans="1:9">
      <c r="A259" s="2"/>
      <c r="C259" s="3"/>
      <c r="D259" s="3"/>
      <c r="E259" s="3"/>
      <c r="F259" s="3"/>
      <c r="G259" s="3"/>
      <c r="H259" s="3"/>
      <c r="I259" s="3"/>
    </row>
    <row r="260" spans="1:9">
      <c r="A260" s="2"/>
      <c r="C260" s="3"/>
      <c r="D260" s="3"/>
      <c r="E260" s="3"/>
      <c r="F260" s="3"/>
      <c r="G260" s="3"/>
      <c r="H260" s="3"/>
      <c r="I260" s="3"/>
    </row>
    <row r="261" spans="1:9">
      <c r="A261" s="2"/>
      <c r="C261" s="3"/>
      <c r="D261" s="3"/>
      <c r="E261" s="3"/>
      <c r="F261" s="3"/>
      <c r="G261" s="3"/>
      <c r="H261" s="3"/>
      <c r="I261" s="3"/>
    </row>
    <row r="262" spans="1:9">
      <c r="A262" s="2"/>
      <c r="C262" s="3"/>
      <c r="D262" s="3"/>
      <c r="E262" s="3"/>
      <c r="F262" s="3"/>
      <c r="G262" s="3"/>
      <c r="H262" s="3"/>
      <c r="I262" s="3"/>
    </row>
    <row r="263" spans="1:9">
      <c r="A263" s="2"/>
      <c r="C263" s="3"/>
      <c r="D263" s="3"/>
      <c r="E263" s="3"/>
      <c r="F263" s="3"/>
      <c r="G263" s="3"/>
      <c r="H263" s="3"/>
      <c r="I263" s="3"/>
    </row>
    <row r="264" spans="1:9">
      <c r="A264" s="2"/>
      <c r="C264" s="3"/>
      <c r="D264" s="3"/>
      <c r="E264" s="3"/>
      <c r="F264" s="3"/>
      <c r="G264" s="3"/>
      <c r="H264" s="3"/>
      <c r="I264" s="3"/>
    </row>
    <row r="265" spans="1:9">
      <c r="A265" s="2"/>
      <c r="C265" s="3"/>
      <c r="D265" s="3"/>
      <c r="E265" s="3"/>
      <c r="F265" s="3"/>
      <c r="G265" s="3"/>
      <c r="H265" s="3"/>
      <c r="I265" s="3"/>
    </row>
    <row r="266" spans="1:9">
      <c r="A266" s="2"/>
      <c r="C266" s="3"/>
      <c r="D266" s="3"/>
      <c r="E266" s="3"/>
      <c r="F266" s="3"/>
      <c r="G266" s="3"/>
      <c r="H266" s="3"/>
      <c r="I266" s="3"/>
    </row>
    <row r="267" spans="1:9">
      <c r="A267" s="2"/>
      <c r="C267" s="3"/>
      <c r="D267" s="3"/>
      <c r="E267" s="3"/>
      <c r="F267" s="3"/>
      <c r="G267" s="3"/>
      <c r="H267" s="3"/>
      <c r="I267" s="3"/>
    </row>
    <row r="268" spans="1:9">
      <c r="A268" s="2"/>
      <c r="C268" s="3"/>
      <c r="D268" s="3"/>
      <c r="E268" s="3"/>
      <c r="F268" s="3"/>
      <c r="G268" s="3"/>
      <c r="H268" s="3"/>
      <c r="I268" s="3"/>
    </row>
    <row r="269" spans="1:9">
      <c r="A269" s="2"/>
      <c r="C269" s="3"/>
      <c r="D269" s="3"/>
      <c r="E269" s="3"/>
      <c r="F269" s="3"/>
      <c r="G269" s="3"/>
      <c r="H269" s="3"/>
      <c r="I269" s="3"/>
    </row>
    <row r="270" spans="1:9">
      <c r="A270" s="2"/>
      <c r="C270" s="3"/>
      <c r="D270" s="3"/>
      <c r="E270" s="3"/>
      <c r="F270" s="3"/>
      <c r="G270" s="3"/>
      <c r="H270" s="3"/>
      <c r="I270" s="3"/>
    </row>
    <row r="271" spans="1:9">
      <c r="A271" s="2"/>
      <c r="C271" s="3"/>
      <c r="D271" s="3"/>
      <c r="E271" s="3"/>
      <c r="F271" s="3"/>
      <c r="G271" s="3"/>
      <c r="H271" s="3"/>
      <c r="I271" s="3"/>
    </row>
    <row r="272" spans="1:9">
      <c r="A272" s="2"/>
      <c r="C272" s="3"/>
      <c r="D272" s="3"/>
      <c r="E272" s="3"/>
      <c r="F272" s="3"/>
      <c r="G272" s="3"/>
      <c r="H272" s="3"/>
      <c r="I272" s="3"/>
    </row>
    <row r="273" spans="1:9">
      <c r="A273" s="2"/>
      <c r="C273" s="3"/>
      <c r="D273" s="3"/>
      <c r="E273" s="3"/>
      <c r="F273" s="3"/>
      <c r="G273" s="3"/>
      <c r="H273" s="3"/>
      <c r="I273" s="3"/>
    </row>
    <row r="274" spans="1:9">
      <c r="A274" s="2"/>
      <c r="C274" s="3"/>
      <c r="D274" s="3"/>
      <c r="E274" s="3"/>
      <c r="F274" s="3"/>
      <c r="G274" s="3"/>
      <c r="H274" s="3"/>
      <c r="I274" s="3"/>
    </row>
    <row r="275" spans="1:9">
      <c r="A275" s="2"/>
      <c r="C275" s="3"/>
      <c r="D275" s="3"/>
      <c r="E275" s="3"/>
      <c r="F275" s="3"/>
      <c r="G275" s="3"/>
      <c r="H275" s="3"/>
      <c r="I275" s="3"/>
    </row>
    <row r="276" spans="1:9">
      <c r="A276" s="2"/>
      <c r="C276" s="3"/>
      <c r="D276" s="3"/>
      <c r="E276" s="3"/>
      <c r="F276" s="3"/>
      <c r="G276" s="3"/>
      <c r="H276" s="3"/>
      <c r="I276" s="3"/>
    </row>
    <row r="277" spans="1:9">
      <c r="A277" s="2"/>
      <c r="C277" s="3"/>
      <c r="D277" s="3"/>
      <c r="E277" s="3"/>
      <c r="F277" s="3"/>
      <c r="G277" s="3"/>
      <c r="H277" s="3"/>
      <c r="I277" s="3"/>
    </row>
    <row r="278" spans="1:9">
      <c r="A278" s="2"/>
      <c r="C278" s="3"/>
      <c r="D278" s="3"/>
      <c r="E278" s="3"/>
      <c r="F278" s="3"/>
      <c r="G278" s="3"/>
      <c r="H278" s="3"/>
      <c r="I278" s="3"/>
    </row>
    <row r="279" spans="1:9">
      <c r="A279" s="2"/>
      <c r="C279" s="3"/>
      <c r="D279" s="3"/>
      <c r="E279" s="3"/>
      <c r="F279" s="3"/>
      <c r="G279" s="3"/>
      <c r="H279" s="3"/>
      <c r="I279" s="3"/>
    </row>
    <row r="280" spans="1:9">
      <c r="A280" s="2"/>
      <c r="C280" s="3"/>
      <c r="D280" s="3"/>
      <c r="E280" s="3"/>
      <c r="F280" s="3"/>
      <c r="G280" s="3"/>
      <c r="H280" s="3"/>
      <c r="I280" s="3"/>
    </row>
    <row r="281" spans="1:9">
      <c r="A281" s="2"/>
      <c r="C281" s="3"/>
      <c r="D281" s="3"/>
      <c r="E281" s="3"/>
      <c r="F281" s="3"/>
      <c r="G281" s="3"/>
      <c r="H281" s="3"/>
      <c r="I281" s="3"/>
    </row>
    <row r="282" spans="1:9">
      <c r="A282" s="2"/>
      <c r="C282" s="3"/>
      <c r="D282" s="3"/>
      <c r="E282" s="3"/>
      <c r="F282" s="3"/>
      <c r="G282" s="3"/>
      <c r="H282" s="3"/>
      <c r="I282" s="3"/>
    </row>
    <row r="283" spans="1:9">
      <c r="A283" s="2"/>
      <c r="C283" s="3"/>
      <c r="D283" s="3"/>
      <c r="E283" s="3"/>
      <c r="F283" s="3"/>
      <c r="G283" s="3"/>
      <c r="H283" s="3"/>
      <c r="I283" s="3"/>
    </row>
    <row r="284" spans="1:9">
      <c r="A284" s="2"/>
      <c r="C284" s="3"/>
      <c r="D284" s="3"/>
      <c r="E284" s="3"/>
      <c r="F284" s="3"/>
      <c r="G284" s="3"/>
      <c r="H284" s="3"/>
      <c r="I284" s="3"/>
    </row>
    <row r="285" spans="1:9">
      <c r="A285" s="2"/>
      <c r="C285" s="3"/>
      <c r="D285" s="3"/>
      <c r="E285" s="3"/>
      <c r="F285" s="3"/>
      <c r="G285" s="3"/>
      <c r="H285" s="3"/>
      <c r="I285" s="3"/>
    </row>
    <row r="286" spans="1:9">
      <c r="A286" s="2"/>
      <c r="C286" s="3"/>
      <c r="D286" s="3"/>
      <c r="E286" s="3"/>
      <c r="F286" s="3"/>
      <c r="G286" s="3"/>
      <c r="H286" s="3"/>
      <c r="I286" s="3"/>
    </row>
    <row r="287" spans="1:9">
      <c r="A287" s="2"/>
      <c r="C287" s="3"/>
      <c r="D287" s="3"/>
      <c r="E287" s="3"/>
      <c r="F287" s="3"/>
      <c r="G287" s="3"/>
      <c r="H287" s="3"/>
      <c r="I287" s="3"/>
    </row>
    <row r="288" spans="1:9">
      <c r="A288" s="2"/>
      <c r="C288" s="3"/>
      <c r="D288" s="3"/>
      <c r="E288" s="3"/>
      <c r="F288" s="3"/>
      <c r="G288" s="3"/>
      <c r="H288" s="3"/>
      <c r="I288" s="3"/>
    </row>
    <row r="289" spans="1:9">
      <c r="A289" s="2"/>
      <c r="C289" s="3"/>
      <c r="D289" s="3"/>
      <c r="E289" s="3"/>
      <c r="F289" s="3"/>
      <c r="G289" s="3"/>
      <c r="H289" s="3"/>
      <c r="I289" s="3"/>
    </row>
    <row r="290" spans="1:9">
      <c r="A290" s="2"/>
      <c r="C290" s="3"/>
      <c r="D290" s="3"/>
      <c r="E290" s="3"/>
      <c r="F290" s="3"/>
      <c r="G290" s="3"/>
      <c r="H290" s="3"/>
      <c r="I290" s="3"/>
    </row>
    <row r="291" spans="1:9">
      <c r="A291" s="2"/>
      <c r="C291" s="3"/>
      <c r="D291" s="3"/>
      <c r="E291" s="3"/>
      <c r="F291" s="3"/>
      <c r="G291" s="3"/>
      <c r="H291" s="3"/>
      <c r="I291" s="3"/>
    </row>
    <row r="292" spans="1:9">
      <c r="A292" s="2"/>
      <c r="C292" s="3"/>
      <c r="D292" s="3"/>
      <c r="E292" s="3"/>
      <c r="F292" s="3"/>
      <c r="G292" s="3"/>
      <c r="H292" s="3"/>
      <c r="I292" s="3"/>
    </row>
    <row r="293" spans="1:9">
      <c r="A293" s="2"/>
      <c r="C293" s="3"/>
      <c r="D293" s="3"/>
      <c r="E293" s="3"/>
      <c r="F293" s="3"/>
      <c r="G293" s="3"/>
      <c r="H293" s="3"/>
      <c r="I293" s="3"/>
    </row>
    <row r="294" spans="1:9">
      <c r="A294" s="2"/>
      <c r="C294" s="3"/>
      <c r="D294" s="3"/>
      <c r="E294" s="3"/>
      <c r="F294" s="3"/>
      <c r="G294" s="3"/>
      <c r="H294" s="3"/>
      <c r="I294" s="3"/>
    </row>
    <row r="295" spans="1:9">
      <c r="A295" s="2"/>
      <c r="C295" s="3"/>
      <c r="D295" s="3"/>
      <c r="E295" s="3"/>
      <c r="F295" s="3"/>
      <c r="G295" s="3"/>
      <c r="H295" s="3"/>
      <c r="I295" s="3"/>
    </row>
    <row r="296" spans="1:9">
      <c r="A296" s="2"/>
      <c r="C296" s="3"/>
      <c r="D296" s="3"/>
      <c r="E296" s="3"/>
      <c r="F296" s="3"/>
      <c r="G296" s="3"/>
      <c r="H296" s="3"/>
      <c r="I296" s="3"/>
    </row>
    <row r="297" spans="1:9">
      <c r="A297" s="2"/>
      <c r="C297" s="3"/>
      <c r="D297" s="3"/>
      <c r="E297" s="3"/>
      <c r="F297" s="3"/>
      <c r="G297" s="3"/>
      <c r="H297" s="3"/>
      <c r="I297" s="3"/>
    </row>
    <row r="298" spans="1:9">
      <c r="A298" s="2"/>
      <c r="C298" s="3"/>
      <c r="D298" s="3"/>
      <c r="E298" s="3"/>
      <c r="F298" s="3"/>
      <c r="G298" s="3"/>
      <c r="H298" s="3"/>
      <c r="I298" s="3"/>
    </row>
    <row r="299" spans="1:9">
      <c r="A299" s="2"/>
      <c r="C299" s="3"/>
      <c r="D299" s="3"/>
      <c r="E299" s="3"/>
      <c r="F299" s="3"/>
      <c r="G299" s="3"/>
      <c r="H299" s="3"/>
      <c r="I299" s="3"/>
    </row>
    <row r="300" spans="1:9">
      <c r="A300" s="2"/>
      <c r="C300" s="3"/>
      <c r="D300" s="3"/>
      <c r="E300" s="3"/>
      <c r="F300" s="3"/>
      <c r="G300" s="3"/>
      <c r="H300" s="3"/>
      <c r="I300" s="3"/>
    </row>
    <row r="301" spans="1:9">
      <c r="A301" s="2"/>
      <c r="C301" s="3"/>
      <c r="D301" s="3"/>
      <c r="E301" s="3"/>
      <c r="F301" s="3"/>
      <c r="G301" s="3"/>
      <c r="H301" s="3"/>
      <c r="I301" s="3"/>
    </row>
    <row r="302" spans="1:9">
      <c r="A302" s="2"/>
      <c r="C302" s="3"/>
      <c r="D302" s="3"/>
      <c r="E302" s="3"/>
      <c r="F302" s="3"/>
      <c r="G302" s="3"/>
      <c r="H302" s="3"/>
      <c r="I302" s="3"/>
    </row>
    <row r="303" spans="1:9">
      <c r="A303" s="2"/>
      <c r="C303" s="3"/>
      <c r="D303" s="3"/>
      <c r="E303" s="3"/>
      <c r="F303" s="3"/>
      <c r="G303" s="3"/>
      <c r="H303" s="3"/>
      <c r="I303" s="3"/>
    </row>
    <row r="304" spans="1:9">
      <c r="A304" s="2"/>
      <c r="C304" s="3"/>
      <c r="D304" s="3"/>
      <c r="E304" s="3"/>
      <c r="F304" s="3"/>
      <c r="G304" s="3"/>
      <c r="H304" s="3"/>
      <c r="I304" s="3"/>
    </row>
    <row r="305" spans="1:9">
      <c r="A305" s="2"/>
      <c r="C305" s="3"/>
      <c r="D305" s="3"/>
      <c r="E305" s="3"/>
      <c r="F305" s="3"/>
      <c r="G305" s="3"/>
      <c r="H305" s="3"/>
      <c r="I305" s="3"/>
    </row>
    <row r="306" spans="1:9">
      <c r="A306" s="2"/>
      <c r="C306" s="3"/>
      <c r="D306" s="3"/>
      <c r="E306" s="3"/>
      <c r="F306" s="3"/>
      <c r="G306" s="3"/>
      <c r="H306" s="3"/>
      <c r="I306" s="3"/>
    </row>
    <row r="307" spans="1:9">
      <c r="A307" s="2"/>
      <c r="C307" s="3"/>
      <c r="D307" s="3"/>
      <c r="E307" s="3"/>
      <c r="F307" s="3"/>
      <c r="G307" s="3"/>
      <c r="H307" s="3"/>
      <c r="I307" s="3"/>
    </row>
    <row r="308" spans="1:9">
      <c r="A308" s="2"/>
      <c r="C308" s="3"/>
      <c r="D308" s="3"/>
      <c r="E308" s="3"/>
      <c r="F308" s="3"/>
      <c r="G308" s="3"/>
      <c r="H308" s="3"/>
      <c r="I308" s="3"/>
    </row>
    <row r="309" spans="1:9">
      <c r="A309" s="2"/>
      <c r="C309" s="3"/>
      <c r="D309" s="3"/>
      <c r="E309" s="3"/>
      <c r="F309" s="3"/>
      <c r="G309" s="3"/>
      <c r="H309" s="3"/>
      <c r="I309" s="3"/>
    </row>
    <row r="310" spans="1:9">
      <c r="A310" s="2"/>
      <c r="C310" s="3"/>
      <c r="D310" s="3"/>
      <c r="E310" s="3"/>
      <c r="F310" s="3"/>
      <c r="G310" s="3"/>
      <c r="H310" s="3"/>
      <c r="I310" s="3"/>
    </row>
    <row r="311" spans="1:9">
      <c r="A311" s="2"/>
      <c r="C311" s="3"/>
      <c r="D311" s="3"/>
      <c r="E311" s="3"/>
      <c r="F311" s="3"/>
      <c r="G311" s="3"/>
      <c r="H311" s="3"/>
      <c r="I311" s="3"/>
    </row>
    <row r="312" spans="1:9">
      <c r="A312" s="2"/>
      <c r="C312" s="3"/>
      <c r="D312" s="3"/>
      <c r="E312" s="3"/>
      <c r="F312" s="3"/>
      <c r="G312" s="3"/>
      <c r="H312" s="3"/>
      <c r="I312" s="3"/>
    </row>
    <row r="313" spans="1:9">
      <c r="A313" s="2"/>
      <c r="C313" s="3"/>
      <c r="D313" s="3"/>
      <c r="E313" s="3"/>
      <c r="F313" s="3"/>
      <c r="G313" s="3"/>
      <c r="H313" s="3"/>
      <c r="I313" s="3"/>
    </row>
    <row r="314" spans="1:9">
      <c r="A314" s="2"/>
      <c r="C314" s="3"/>
      <c r="D314" s="3"/>
      <c r="E314" s="3"/>
      <c r="F314" s="3"/>
      <c r="G314" s="3"/>
      <c r="H314" s="3"/>
      <c r="I314" s="3"/>
    </row>
    <row r="315" spans="1:9">
      <c r="A315" s="2"/>
      <c r="C315" s="3"/>
      <c r="D315" s="3"/>
      <c r="E315" s="3"/>
      <c r="F315" s="3"/>
      <c r="G315" s="3"/>
      <c r="H315" s="3"/>
      <c r="I315" s="3"/>
    </row>
    <row r="316" spans="1:9">
      <c r="A316" s="2"/>
      <c r="C316" s="3"/>
      <c r="D316" s="3"/>
      <c r="E316" s="3"/>
      <c r="F316" s="3"/>
      <c r="G316" s="3"/>
      <c r="H316" s="3"/>
      <c r="I316" s="3"/>
    </row>
    <row r="317" spans="1:9">
      <c r="A317" s="2"/>
      <c r="C317" s="3"/>
      <c r="D317" s="3"/>
      <c r="E317" s="3"/>
      <c r="F317" s="3"/>
      <c r="G317" s="3"/>
      <c r="H317" s="3"/>
      <c r="I317" s="3"/>
    </row>
    <row r="318" spans="1:9">
      <c r="A318" s="2"/>
      <c r="C318" s="3"/>
      <c r="D318" s="3"/>
      <c r="E318" s="3"/>
      <c r="F318" s="3"/>
      <c r="G318" s="3"/>
      <c r="H318" s="3"/>
      <c r="I318" s="3"/>
    </row>
    <row r="319" spans="1:9">
      <c r="A319" s="2"/>
      <c r="C319" s="3"/>
      <c r="D319" s="3"/>
      <c r="E319" s="3"/>
      <c r="F319" s="3"/>
      <c r="G319" s="3"/>
      <c r="H319" s="3"/>
      <c r="I319" s="3"/>
    </row>
    <row r="320" spans="1:9">
      <c r="A320" s="2"/>
      <c r="C320" s="3"/>
      <c r="D320" s="3"/>
      <c r="E320" s="3"/>
      <c r="F320" s="3"/>
      <c r="G320" s="3"/>
      <c r="H320" s="3"/>
      <c r="I320" s="3"/>
    </row>
    <row r="321" spans="1:9">
      <c r="A321" s="2"/>
      <c r="C321" s="3"/>
      <c r="D321" s="3"/>
      <c r="E321" s="3"/>
      <c r="F321" s="3"/>
      <c r="G321" s="3"/>
      <c r="H321" s="3"/>
      <c r="I321" s="3"/>
    </row>
    <row r="322" spans="1:9">
      <c r="A322" s="2"/>
      <c r="C322" s="3"/>
      <c r="D322" s="3"/>
      <c r="E322" s="3"/>
      <c r="F322" s="3"/>
      <c r="G322" s="3"/>
      <c r="H322" s="3"/>
      <c r="I322" s="3"/>
    </row>
    <row r="323" spans="1:9">
      <c r="A323" s="2"/>
      <c r="C323" s="3"/>
      <c r="D323" s="3"/>
      <c r="E323" s="3"/>
      <c r="F323" s="3"/>
      <c r="G323" s="3"/>
      <c r="H323" s="3"/>
      <c r="I323" s="3"/>
    </row>
    <row r="324" spans="1:9">
      <c r="A324" s="2"/>
      <c r="C324" s="3"/>
      <c r="D324" s="3"/>
      <c r="E324" s="3"/>
      <c r="F324" s="3"/>
      <c r="G324" s="3"/>
      <c r="H324" s="3"/>
      <c r="I324" s="3"/>
    </row>
    <row r="325" spans="1:9">
      <c r="A325" s="2"/>
      <c r="C325" s="3"/>
      <c r="D325" s="3"/>
      <c r="E325" s="3"/>
      <c r="F325" s="3"/>
      <c r="G325" s="3"/>
      <c r="H325" s="3"/>
      <c r="I325" s="3"/>
    </row>
    <row r="326" spans="1:9">
      <c r="A326" s="2"/>
      <c r="C326" s="3"/>
      <c r="D326" s="3"/>
      <c r="E326" s="3"/>
      <c r="F326" s="3"/>
      <c r="G326" s="3"/>
      <c r="H326" s="3"/>
      <c r="I326" s="3"/>
    </row>
    <row r="327" spans="1:9">
      <c r="A327" s="2"/>
      <c r="C327" s="3"/>
      <c r="D327" s="3"/>
      <c r="E327" s="3"/>
      <c r="F327" s="3"/>
      <c r="G327" s="3"/>
      <c r="H327" s="3"/>
      <c r="I327" s="3"/>
    </row>
    <row r="328" spans="1:9">
      <c r="A328" s="2"/>
      <c r="C328" s="3"/>
      <c r="D328" s="3"/>
      <c r="E328" s="3"/>
      <c r="F328" s="3"/>
      <c r="G328" s="3"/>
      <c r="H328" s="3"/>
      <c r="I328" s="3"/>
    </row>
    <row r="329" spans="1:9">
      <c r="A329" s="2"/>
      <c r="C329" s="3"/>
      <c r="D329" s="3"/>
      <c r="E329" s="3"/>
      <c r="F329" s="3"/>
      <c r="G329" s="3"/>
      <c r="H329" s="3"/>
      <c r="I329" s="3"/>
    </row>
    <row r="330" spans="1:9">
      <c r="A330" s="2"/>
      <c r="C330" s="3"/>
      <c r="D330" s="3"/>
      <c r="E330" s="3"/>
      <c r="F330" s="3"/>
      <c r="G330" s="3"/>
      <c r="H330" s="3"/>
      <c r="I330" s="3"/>
    </row>
    <row r="331" spans="1:9">
      <c r="A331" s="2"/>
      <c r="C331" s="3"/>
      <c r="D331" s="3"/>
      <c r="E331" s="3"/>
      <c r="F331" s="3"/>
      <c r="G331" s="3"/>
      <c r="H331" s="3"/>
      <c r="I331" s="3"/>
    </row>
    <row r="332" spans="1:9">
      <c r="A332" s="2"/>
      <c r="C332" s="3"/>
      <c r="D332" s="3"/>
      <c r="E332" s="3"/>
      <c r="F332" s="3"/>
      <c r="G332" s="3"/>
      <c r="H332" s="3"/>
      <c r="I332" s="3"/>
    </row>
    <row r="333" spans="1:9">
      <c r="A333" s="2"/>
      <c r="C333" s="3"/>
      <c r="D333" s="3"/>
      <c r="E333" s="3"/>
      <c r="F333" s="3"/>
      <c r="G333" s="3"/>
      <c r="H333" s="3"/>
      <c r="I333" s="3"/>
    </row>
    <row r="334" spans="1:9">
      <c r="A334" s="2"/>
      <c r="C334" s="3"/>
      <c r="D334" s="3"/>
      <c r="E334" s="3"/>
      <c r="F334" s="3"/>
      <c r="G334" s="3"/>
      <c r="H334" s="3"/>
      <c r="I334" s="3"/>
    </row>
    <row r="335" spans="1:9">
      <c r="A335" s="2"/>
      <c r="C335" s="3"/>
      <c r="D335" s="3"/>
      <c r="E335" s="3"/>
      <c r="F335" s="3"/>
      <c r="G335" s="3"/>
      <c r="H335" s="3"/>
      <c r="I335" s="3"/>
    </row>
    <row r="336" spans="1:9">
      <c r="A336" s="2"/>
      <c r="C336" s="3"/>
      <c r="D336" s="3"/>
      <c r="E336" s="3"/>
      <c r="F336" s="3"/>
      <c r="G336" s="3"/>
      <c r="H336" s="3"/>
      <c r="I336" s="3"/>
    </row>
    <row r="337" spans="1:9">
      <c r="A337" s="2"/>
      <c r="C337" s="3"/>
      <c r="D337" s="3"/>
      <c r="E337" s="3"/>
      <c r="F337" s="3"/>
      <c r="G337" s="3"/>
      <c r="H337" s="3"/>
      <c r="I337" s="3"/>
    </row>
    <row r="338" spans="1:9">
      <c r="A338" s="2"/>
      <c r="C338" s="3"/>
      <c r="D338" s="3"/>
      <c r="E338" s="3"/>
      <c r="F338" s="3"/>
      <c r="G338" s="3"/>
      <c r="H338" s="3"/>
      <c r="I338" s="3"/>
    </row>
    <row r="339" spans="1:9">
      <c r="A339" s="2"/>
      <c r="C339" s="3"/>
      <c r="D339" s="3"/>
      <c r="E339" s="3"/>
      <c r="F339" s="3"/>
      <c r="G339" s="3"/>
      <c r="H339" s="3"/>
      <c r="I339" s="3"/>
    </row>
    <row r="340" spans="1:9">
      <c r="A340" s="2"/>
      <c r="C340" s="3"/>
      <c r="D340" s="3"/>
      <c r="E340" s="3"/>
      <c r="F340" s="3"/>
      <c r="G340" s="3"/>
      <c r="H340" s="3"/>
      <c r="I340" s="3"/>
    </row>
    <row r="341" spans="1:9">
      <c r="A341" s="2"/>
      <c r="C341" s="3"/>
      <c r="D341" s="3"/>
      <c r="E341" s="3"/>
      <c r="F341" s="3"/>
      <c r="G341" s="3"/>
      <c r="H341" s="3"/>
      <c r="I341" s="3"/>
    </row>
    <row r="342" spans="1:9">
      <c r="A342" s="2"/>
      <c r="C342" s="3"/>
      <c r="D342" s="3"/>
      <c r="E342" s="3"/>
      <c r="F342" s="3"/>
      <c r="G342" s="3"/>
      <c r="H342" s="3"/>
      <c r="I342" s="3"/>
    </row>
    <row r="343" spans="1:9">
      <c r="A343" s="2"/>
      <c r="C343" s="3"/>
      <c r="D343" s="3"/>
      <c r="E343" s="3"/>
      <c r="F343" s="3"/>
      <c r="G343" s="3"/>
      <c r="H343" s="3"/>
      <c r="I343" s="3"/>
    </row>
    <row r="344" spans="1:9">
      <c r="A344" s="2"/>
      <c r="C344" s="3"/>
      <c r="D344" s="3"/>
      <c r="E344" s="3"/>
      <c r="F344" s="3"/>
      <c r="G344" s="3"/>
      <c r="H344" s="3"/>
      <c r="I344" s="3"/>
    </row>
    <row r="345" spans="1:9">
      <c r="A345" s="2"/>
      <c r="C345" s="3"/>
      <c r="D345" s="3"/>
      <c r="E345" s="3"/>
      <c r="F345" s="3"/>
      <c r="G345" s="3"/>
      <c r="H345" s="3"/>
      <c r="I345" s="3"/>
    </row>
    <row r="346" spans="1:9">
      <c r="A346" s="2"/>
      <c r="C346" s="3"/>
      <c r="D346" s="3"/>
      <c r="E346" s="3"/>
      <c r="F346" s="3"/>
      <c r="G346" s="3"/>
      <c r="H346" s="3"/>
      <c r="I346" s="3"/>
    </row>
    <row r="347" spans="1:9">
      <c r="A347" s="2"/>
      <c r="C347" s="3"/>
      <c r="D347" s="3"/>
      <c r="E347" s="3"/>
      <c r="F347" s="3"/>
      <c r="G347" s="3"/>
      <c r="H347" s="3"/>
      <c r="I347" s="3"/>
    </row>
    <row r="348" spans="1:9">
      <c r="A348" s="2"/>
      <c r="C348" s="3"/>
      <c r="D348" s="3"/>
      <c r="E348" s="3"/>
      <c r="F348" s="3"/>
      <c r="G348" s="3"/>
      <c r="H348" s="3"/>
      <c r="I348" s="3"/>
    </row>
    <row r="349" spans="1:9">
      <c r="A349" s="2"/>
      <c r="C349" s="3"/>
      <c r="D349" s="3"/>
      <c r="E349" s="3"/>
      <c r="F349" s="3"/>
      <c r="G349" s="3"/>
      <c r="H349" s="3"/>
      <c r="I349" s="3"/>
    </row>
    <row r="350" spans="1:9">
      <c r="A350" s="2"/>
      <c r="C350" s="3"/>
      <c r="D350" s="3"/>
      <c r="E350" s="3"/>
      <c r="F350" s="3"/>
      <c r="G350" s="3"/>
      <c r="H350" s="3"/>
      <c r="I350" s="3"/>
    </row>
    <row r="351" spans="1:9">
      <c r="A351" s="2"/>
      <c r="C351" s="3"/>
      <c r="D351" s="3"/>
      <c r="E351" s="3"/>
      <c r="F351" s="3"/>
      <c r="G351" s="3"/>
      <c r="H351" s="3"/>
      <c r="I351" s="3"/>
    </row>
    <row r="352" spans="1:9">
      <c r="A352" s="2"/>
      <c r="C352" s="3"/>
      <c r="D352" s="3"/>
      <c r="E352" s="3"/>
      <c r="F352" s="3"/>
      <c r="G352" s="3"/>
      <c r="H352" s="3"/>
      <c r="I352" s="3"/>
    </row>
    <row r="353" spans="1:9">
      <c r="A353" s="2"/>
      <c r="C353" s="3"/>
      <c r="D353" s="3"/>
      <c r="E353" s="3"/>
      <c r="F353" s="3"/>
      <c r="G353" s="3"/>
      <c r="H353" s="3"/>
      <c r="I353" s="3"/>
    </row>
    <row r="354" spans="1:9">
      <c r="A354" s="2"/>
      <c r="C354" s="3"/>
      <c r="D354" s="3"/>
      <c r="E354" s="3"/>
      <c r="F354" s="3"/>
      <c r="G354" s="3"/>
      <c r="H354" s="3"/>
      <c r="I354" s="3"/>
    </row>
    <row r="355" spans="1:9">
      <c r="A355" s="2"/>
      <c r="C355" s="3"/>
      <c r="D355" s="3"/>
      <c r="E355" s="3"/>
      <c r="F355" s="3"/>
      <c r="G355" s="3"/>
      <c r="H355" s="3"/>
      <c r="I355" s="3"/>
    </row>
    <row r="356" spans="1:9">
      <c r="A356" s="2"/>
      <c r="C356" s="3"/>
      <c r="D356" s="3"/>
      <c r="E356" s="3"/>
      <c r="F356" s="3"/>
      <c r="G356" s="3"/>
      <c r="H356" s="3"/>
      <c r="I356" s="3"/>
    </row>
    <row r="357" spans="1:9">
      <c r="A357" s="2"/>
      <c r="C357" s="3"/>
      <c r="D357" s="3"/>
      <c r="E357" s="3"/>
      <c r="F357" s="3"/>
      <c r="G357" s="3"/>
      <c r="H357" s="3"/>
      <c r="I357" s="3"/>
    </row>
    <row r="358" spans="1:9">
      <c r="A358" s="2"/>
      <c r="C358" s="3"/>
      <c r="D358" s="3"/>
      <c r="E358" s="3"/>
      <c r="F358" s="3"/>
      <c r="G358" s="3"/>
      <c r="H358" s="3"/>
      <c r="I358" s="3"/>
    </row>
    <row r="359" spans="1:9">
      <c r="A359" s="2"/>
      <c r="C359" s="3"/>
      <c r="D359" s="3"/>
      <c r="E359" s="3"/>
      <c r="F359" s="3"/>
      <c r="G359" s="3"/>
      <c r="H359" s="3"/>
      <c r="I359" s="3"/>
    </row>
    <row r="360" spans="1:9">
      <c r="A360" s="2"/>
      <c r="C360" s="3"/>
      <c r="D360" s="3"/>
      <c r="E360" s="3"/>
      <c r="F360" s="3"/>
      <c r="G360" s="3"/>
      <c r="H360" s="3"/>
      <c r="I360" s="3"/>
    </row>
    <row r="361" spans="1:9">
      <c r="A361" s="2"/>
      <c r="C361" s="3"/>
      <c r="D361" s="3"/>
      <c r="E361" s="3"/>
      <c r="F361" s="3"/>
      <c r="G361" s="3"/>
      <c r="H361" s="3"/>
      <c r="I361" s="3"/>
    </row>
    <row r="362" spans="1:9">
      <c r="A362" s="2"/>
      <c r="C362" s="3"/>
      <c r="D362" s="3"/>
      <c r="E362" s="3"/>
      <c r="F362" s="3"/>
      <c r="G362" s="3"/>
      <c r="H362" s="3"/>
      <c r="I362" s="3"/>
    </row>
    <row r="363" spans="1:9">
      <c r="A363" s="2"/>
      <c r="C363" s="3"/>
      <c r="D363" s="3"/>
      <c r="E363" s="3"/>
      <c r="F363" s="3"/>
      <c r="G363" s="3"/>
      <c r="H363" s="3"/>
      <c r="I363" s="3"/>
    </row>
    <row r="364" spans="1:9">
      <c r="A364" s="2"/>
      <c r="C364" s="3"/>
      <c r="D364" s="3"/>
      <c r="E364" s="3"/>
      <c r="F364" s="3"/>
      <c r="G364" s="3"/>
      <c r="H364" s="3"/>
      <c r="I364" s="3"/>
    </row>
    <row r="365" spans="1:9">
      <c r="A365" s="2"/>
      <c r="C365" s="3"/>
      <c r="D365" s="3"/>
      <c r="E365" s="3"/>
      <c r="F365" s="3"/>
      <c r="G365" s="3"/>
      <c r="H365" s="3"/>
      <c r="I365" s="3"/>
    </row>
    <row r="366" spans="1:9">
      <c r="A366" s="2"/>
      <c r="C366" s="3"/>
      <c r="D366" s="3"/>
      <c r="E366" s="3"/>
      <c r="F366" s="3"/>
      <c r="G366" s="3"/>
      <c r="H366" s="3"/>
      <c r="I366" s="3"/>
    </row>
    <row r="367" spans="1:9">
      <c r="A367" s="2"/>
      <c r="C367" s="3"/>
      <c r="D367" s="3"/>
      <c r="E367" s="3"/>
      <c r="F367" s="3"/>
      <c r="G367" s="3"/>
      <c r="H367" s="3"/>
      <c r="I367" s="3"/>
    </row>
    <row r="368" spans="1:9">
      <c r="A368" s="2"/>
      <c r="C368" s="3"/>
      <c r="D368" s="3"/>
      <c r="E368" s="3"/>
      <c r="F368" s="3"/>
      <c r="G368" s="3"/>
      <c r="H368" s="3"/>
      <c r="I368" s="3"/>
    </row>
    <row r="369" spans="1:9">
      <c r="A369" s="2"/>
      <c r="C369" s="3"/>
      <c r="D369" s="3"/>
      <c r="E369" s="3"/>
      <c r="F369" s="3"/>
      <c r="G369" s="3"/>
      <c r="H369" s="3"/>
      <c r="I369" s="3"/>
    </row>
    <row r="370" spans="1:9">
      <c r="A370" s="2"/>
      <c r="C370" s="3"/>
      <c r="D370" s="3"/>
      <c r="E370" s="3"/>
      <c r="F370" s="3"/>
      <c r="G370" s="3"/>
      <c r="H370" s="3"/>
      <c r="I370" s="3"/>
    </row>
    <row r="371" spans="1:9">
      <c r="A371" s="2"/>
      <c r="C371" s="3"/>
      <c r="D371" s="3"/>
      <c r="E371" s="3"/>
      <c r="F371" s="3"/>
      <c r="G371" s="3"/>
      <c r="H371" s="3"/>
      <c r="I371" s="3"/>
    </row>
    <row r="372" spans="1:9">
      <c r="A372" s="2"/>
      <c r="C372" s="3"/>
      <c r="D372" s="3"/>
      <c r="E372" s="3"/>
      <c r="F372" s="3"/>
      <c r="G372" s="3"/>
      <c r="H372" s="3"/>
      <c r="I372" s="3"/>
    </row>
    <row r="373" spans="1:9">
      <c r="A373" s="2"/>
      <c r="C373" s="3"/>
      <c r="D373" s="3"/>
      <c r="E373" s="3"/>
      <c r="F373" s="3"/>
      <c r="G373" s="3"/>
      <c r="H373" s="3"/>
      <c r="I373" s="3"/>
    </row>
    <row r="374" spans="1:9">
      <c r="A374" s="2"/>
      <c r="C374" s="3"/>
      <c r="D374" s="3"/>
      <c r="E374" s="3"/>
      <c r="F374" s="3"/>
      <c r="G374" s="3"/>
      <c r="H374" s="3"/>
      <c r="I374" s="3"/>
    </row>
    <row r="375" spans="1:9">
      <c r="A375" s="2"/>
      <c r="C375" s="3"/>
      <c r="D375" s="3"/>
      <c r="E375" s="3"/>
      <c r="F375" s="3"/>
      <c r="G375" s="3"/>
      <c r="H375" s="3"/>
      <c r="I375" s="3"/>
    </row>
    <row r="376" spans="1:9">
      <c r="A376" s="2"/>
      <c r="C376" s="3"/>
      <c r="D376" s="3"/>
      <c r="E376" s="3"/>
      <c r="F376" s="3"/>
      <c r="G376" s="3"/>
      <c r="H376" s="3"/>
      <c r="I376" s="3"/>
    </row>
    <row r="377" spans="1:9">
      <c r="A377" s="2"/>
      <c r="C377" s="3"/>
      <c r="D377" s="3"/>
      <c r="E377" s="3"/>
      <c r="F377" s="3"/>
      <c r="G377" s="3"/>
      <c r="H377" s="3"/>
      <c r="I377" s="3"/>
    </row>
    <row r="378" spans="1:9">
      <c r="A378" s="2"/>
      <c r="C378" s="3"/>
      <c r="D378" s="3"/>
      <c r="E378" s="3"/>
      <c r="F378" s="3"/>
      <c r="G378" s="3"/>
      <c r="H378" s="3"/>
      <c r="I378" s="3"/>
    </row>
    <row r="379" spans="1:9">
      <c r="A379" s="2"/>
      <c r="C379" s="3"/>
      <c r="D379" s="3"/>
      <c r="E379" s="3"/>
      <c r="F379" s="3"/>
      <c r="G379" s="3"/>
      <c r="H379" s="3"/>
      <c r="I379" s="3"/>
    </row>
    <row r="380" spans="1:9">
      <c r="A380" s="2"/>
      <c r="C380" s="3"/>
      <c r="D380" s="3"/>
      <c r="E380" s="3"/>
      <c r="F380" s="3"/>
      <c r="G380" s="3"/>
      <c r="H380" s="3"/>
      <c r="I380" s="3"/>
    </row>
    <row r="381" spans="1:9">
      <c r="A381" s="2"/>
      <c r="C381" s="3"/>
      <c r="D381" s="3"/>
      <c r="E381" s="3"/>
      <c r="F381" s="3"/>
      <c r="G381" s="3"/>
      <c r="H381" s="3"/>
      <c r="I381" s="3"/>
    </row>
    <row r="382" spans="1:9">
      <c r="A382" s="2"/>
      <c r="C382" s="3"/>
      <c r="D382" s="3"/>
      <c r="E382" s="3"/>
      <c r="F382" s="3"/>
      <c r="G382" s="3"/>
      <c r="H382" s="3"/>
      <c r="I382" s="3"/>
    </row>
    <row r="383" spans="1:9">
      <c r="A383" s="2"/>
      <c r="C383" s="3"/>
      <c r="D383" s="3"/>
      <c r="E383" s="3"/>
      <c r="F383" s="3"/>
      <c r="G383" s="3"/>
      <c r="H383" s="3"/>
      <c r="I383" s="3"/>
    </row>
    <row r="384" spans="1:9">
      <c r="A384" s="2"/>
      <c r="C384" s="3"/>
      <c r="D384" s="3"/>
      <c r="E384" s="3"/>
      <c r="F384" s="3"/>
      <c r="G384" s="3"/>
      <c r="H384" s="3"/>
      <c r="I384" s="3"/>
    </row>
    <row r="385" spans="1:9">
      <c r="A385" s="2"/>
      <c r="C385" s="3"/>
      <c r="D385" s="3"/>
      <c r="E385" s="3"/>
      <c r="F385" s="3"/>
      <c r="G385" s="3"/>
      <c r="H385" s="3"/>
      <c r="I385" s="3"/>
    </row>
    <row r="386" spans="1:9">
      <c r="A386" s="2"/>
      <c r="C386" s="3"/>
      <c r="D386" s="3"/>
      <c r="E386" s="3"/>
      <c r="F386" s="3"/>
      <c r="G386" s="3"/>
      <c r="H386" s="3"/>
      <c r="I386" s="3"/>
    </row>
    <row r="387" spans="1:9">
      <c r="A387" s="2"/>
      <c r="C387" s="3"/>
      <c r="D387" s="3"/>
      <c r="E387" s="3"/>
      <c r="F387" s="3"/>
      <c r="G387" s="3"/>
      <c r="H387" s="3"/>
      <c r="I387" s="3"/>
    </row>
    <row r="388" spans="1:9">
      <c r="A388" s="2"/>
      <c r="C388" s="3"/>
      <c r="D388" s="3"/>
      <c r="E388" s="3"/>
      <c r="F388" s="3"/>
      <c r="G388" s="3"/>
      <c r="H388" s="3"/>
      <c r="I388" s="3"/>
    </row>
    <row r="389" spans="1:9">
      <c r="A389" s="2"/>
      <c r="C389" s="3"/>
      <c r="D389" s="3"/>
      <c r="E389" s="3"/>
      <c r="F389" s="3"/>
      <c r="G389" s="3"/>
      <c r="H389" s="3"/>
      <c r="I389" s="3"/>
    </row>
    <row r="390" spans="1:9">
      <c r="A390" s="2"/>
      <c r="C390" s="3"/>
      <c r="D390" s="3"/>
      <c r="E390" s="3"/>
      <c r="F390" s="3"/>
      <c r="G390" s="3"/>
      <c r="H390" s="3"/>
      <c r="I390" s="3"/>
    </row>
    <row r="391" spans="1:9">
      <c r="A391" s="2"/>
      <c r="C391" s="3"/>
      <c r="D391" s="3"/>
      <c r="E391" s="3"/>
      <c r="F391" s="3"/>
      <c r="G391" s="3"/>
      <c r="H391" s="3"/>
      <c r="I391" s="3"/>
    </row>
    <row r="392" spans="1:9">
      <c r="A392" s="2"/>
      <c r="C392" s="3"/>
      <c r="D392" s="3"/>
      <c r="E392" s="3"/>
      <c r="F392" s="3"/>
      <c r="G392" s="3"/>
      <c r="H392" s="3"/>
      <c r="I392" s="3"/>
    </row>
    <row r="393" spans="1:9">
      <c r="A393" s="2"/>
      <c r="C393" s="3"/>
      <c r="D393" s="3"/>
      <c r="E393" s="3"/>
      <c r="F393" s="3"/>
      <c r="G393" s="3"/>
      <c r="H393" s="3"/>
      <c r="I393" s="3"/>
    </row>
    <row r="394" spans="1:9">
      <c r="A394" s="2"/>
      <c r="C394" s="3"/>
      <c r="D394" s="3"/>
      <c r="E394" s="3"/>
      <c r="F394" s="3"/>
      <c r="G394" s="3"/>
      <c r="H394" s="3"/>
      <c r="I394" s="3"/>
    </row>
    <row r="395" spans="1:9">
      <c r="A395" s="2"/>
      <c r="C395" s="3"/>
      <c r="D395" s="3"/>
      <c r="E395" s="3"/>
      <c r="F395" s="3"/>
      <c r="G395" s="3"/>
      <c r="H395" s="3"/>
      <c r="I395" s="3"/>
    </row>
    <row r="396" spans="1:9">
      <c r="A396" s="2"/>
      <c r="C396" s="3"/>
      <c r="D396" s="3"/>
      <c r="E396" s="3"/>
      <c r="F396" s="3"/>
      <c r="G396" s="3"/>
      <c r="H396" s="3"/>
      <c r="I396" s="3"/>
    </row>
    <row r="397" spans="1:9">
      <c r="A397" s="2"/>
      <c r="C397" s="3"/>
      <c r="D397" s="3"/>
      <c r="E397" s="3"/>
      <c r="F397" s="3"/>
      <c r="G397" s="3"/>
      <c r="H397" s="3"/>
      <c r="I397" s="3"/>
    </row>
    <row r="398" spans="1:9">
      <c r="A398" s="2"/>
      <c r="C398" s="3"/>
      <c r="D398" s="3"/>
      <c r="E398" s="3"/>
      <c r="F398" s="3"/>
      <c r="G398" s="3"/>
      <c r="H398" s="3"/>
      <c r="I398" s="3"/>
    </row>
    <row r="399" spans="1:9">
      <c r="A399" s="2"/>
      <c r="C399" s="3"/>
      <c r="D399" s="3"/>
      <c r="E399" s="3"/>
      <c r="F399" s="3"/>
      <c r="G399" s="3"/>
      <c r="H399" s="3"/>
      <c r="I399" s="3"/>
    </row>
    <row r="400" spans="1:9">
      <c r="A400" s="2"/>
      <c r="C400" s="3"/>
      <c r="D400" s="3"/>
      <c r="E400" s="3"/>
      <c r="F400" s="3"/>
      <c r="G400" s="3"/>
      <c r="H400" s="3"/>
      <c r="I400" s="3"/>
    </row>
    <row r="401" spans="1:9">
      <c r="A401" s="2"/>
      <c r="C401" s="3"/>
      <c r="D401" s="3"/>
      <c r="E401" s="3"/>
      <c r="F401" s="3"/>
      <c r="G401" s="3"/>
      <c r="H401" s="3"/>
      <c r="I401" s="3"/>
    </row>
    <row r="402" spans="1:9">
      <c r="A402" s="2"/>
      <c r="C402" s="3"/>
      <c r="D402" s="3"/>
      <c r="E402" s="3"/>
      <c r="F402" s="3"/>
      <c r="G402" s="3"/>
      <c r="H402" s="3"/>
      <c r="I402" s="3"/>
    </row>
    <row r="403" spans="1:9">
      <c r="A403" s="2"/>
      <c r="C403" s="3"/>
      <c r="D403" s="3"/>
      <c r="E403" s="3"/>
      <c r="F403" s="3"/>
      <c r="G403" s="3"/>
      <c r="H403" s="3"/>
      <c r="I403" s="3"/>
    </row>
    <row r="404" spans="1:9">
      <c r="A404" s="2"/>
      <c r="C404" s="3"/>
      <c r="D404" s="3"/>
      <c r="E404" s="3"/>
      <c r="F404" s="3"/>
      <c r="G404" s="3"/>
      <c r="H404" s="3"/>
      <c r="I404" s="3"/>
    </row>
    <row r="405" spans="1:9">
      <c r="A405" s="2"/>
      <c r="C405" s="3"/>
      <c r="D405" s="3"/>
      <c r="E405" s="3"/>
      <c r="F405" s="3"/>
      <c r="G405" s="3"/>
      <c r="H405" s="3"/>
      <c r="I405" s="3"/>
    </row>
    <row r="406" spans="1:9">
      <c r="A406" s="2"/>
      <c r="C406" s="3"/>
      <c r="D406" s="3"/>
      <c r="E406" s="3"/>
      <c r="F406" s="3"/>
      <c r="G406" s="3"/>
      <c r="H406" s="3"/>
      <c r="I406" s="3"/>
    </row>
    <row r="407" spans="1:9">
      <c r="A407" s="2"/>
      <c r="C407" s="3"/>
      <c r="D407" s="3"/>
      <c r="E407" s="3"/>
      <c r="F407" s="3"/>
      <c r="G407" s="3"/>
      <c r="H407" s="3"/>
      <c r="I407" s="3"/>
    </row>
    <row r="408" spans="1:9">
      <c r="A408" s="2"/>
      <c r="C408" s="3"/>
      <c r="D408" s="3"/>
      <c r="E408" s="3"/>
      <c r="F408" s="3"/>
      <c r="G408" s="3"/>
      <c r="H408" s="3"/>
      <c r="I408" s="3"/>
    </row>
    <row r="409" spans="1:9">
      <c r="A409" s="2"/>
      <c r="C409" s="3"/>
      <c r="D409" s="3"/>
      <c r="E409" s="3"/>
      <c r="F409" s="3"/>
      <c r="G409" s="3"/>
      <c r="H409" s="3"/>
      <c r="I409" s="3"/>
    </row>
    <row r="410" spans="1:9">
      <c r="A410" s="2"/>
      <c r="C410" s="3"/>
      <c r="D410" s="3"/>
      <c r="E410" s="3"/>
      <c r="F410" s="3"/>
      <c r="G410" s="3"/>
      <c r="H410" s="3"/>
      <c r="I410" s="3"/>
    </row>
    <row r="411" spans="1:9">
      <c r="A411" s="2"/>
      <c r="C411" s="3"/>
      <c r="D411" s="3"/>
      <c r="E411" s="3"/>
      <c r="F411" s="3"/>
      <c r="G411" s="3"/>
      <c r="H411" s="3"/>
      <c r="I411" s="3"/>
    </row>
    <row r="412" spans="1:9">
      <c r="A412" s="2"/>
      <c r="C412" s="3"/>
      <c r="D412" s="3"/>
      <c r="E412" s="3"/>
      <c r="F412" s="3"/>
      <c r="G412" s="3"/>
      <c r="H412" s="3"/>
      <c r="I412" s="3"/>
    </row>
    <row r="413" spans="1:9">
      <c r="A413" s="2"/>
      <c r="C413" s="3"/>
      <c r="D413" s="3"/>
      <c r="E413" s="3"/>
      <c r="F413" s="3"/>
      <c r="G413" s="3"/>
      <c r="H413" s="3"/>
      <c r="I413" s="3"/>
    </row>
    <row r="414" spans="1:9">
      <c r="A414" s="2"/>
      <c r="C414" s="3"/>
      <c r="D414" s="3"/>
      <c r="E414" s="3"/>
      <c r="F414" s="3"/>
      <c r="G414" s="3"/>
      <c r="H414" s="3"/>
      <c r="I414" s="3"/>
    </row>
    <row r="415" spans="1:9">
      <c r="A415" s="2"/>
      <c r="C415" s="3"/>
      <c r="D415" s="3"/>
      <c r="E415" s="3"/>
      <c r="F415" s="3"/>
      <c r="G415" s="3"/>
      <c r="H415" s="3"/>
      <c r="I415" s="3"/>
    </row>
    <row r="416" spans="1:9">
      <c r="A416" s="2"/>
      <c r="C416" s="3"/>
      <c r="D416" s="3"/>
      <c r="E416" s="3"/>
      <c r="F416" s="3"/>
      <c r="G416" s="3"/>
      <c r="H416" s="3"/>
      <c r="I416" s="3"/>
    </row>
    <row r="417" spans="1:9">
      <c r="A417" s="2"/>
      <c r="C417" s="3"/>
      <c r="D417" s="3"/>
      <c r="E417" s="3"/>
      <c r="F417" s="3"/>
      <c r="G417" s="3"/>
      <c r="H417" s="3"/>
      <c r="I417" s="3"/>
    </row>
    <row r="418" spans="1:9">
      <c r="A418" s="2"/>
      <c r="C418" s="3"/>
      <c r="D418" s="3"/>
      <c r="E418" s="3"/>
      <c r="F418" s="3"/>
      <c r="G418" s="3"/>
      <c r="H418" s="3"/>
      <c r="I418" s="3"/>
    </row>
    <row r="419" spans="1:9">
      <c r="A419" s="2"/>
      <c r="C419" s="3"/>
      <c r="D419" s="3"/>
      <c r="E419" s="3"/>
      <c r="F419" s="3"/>
      <c r="G419" s="3"/>
      <c r="H419" s="3"/>
      <c r="I419" s="3"/>
    </row>
    <row r="420" spans="1:9">
      <c r="A420" s="2"/>
      <c r="C420" s="3"/>
      <c r="D420" s="3"/>
      <c r="E420" s="3"/>
      <c r="F420" s="3"/>
      <c r="G420" s="3"/>
      <c r="H420" s="3"/>
      <c r="I420" s="3"/>
    </row>
    <row r="421" spans="1:9">
      <c r="A421" s="2"/>
      <c r="C421" s="3"/>
      <c r="D421" s="3"/>
      <c r="E421" s="3"/>
      <c r="F421" s="3"/>
      <c r="G421" s="3"/>
      <c r="H421" s="3"/>
      <c r="I421" s="3"/>
    </row>
    <row r="422" spans="1:9">
      <c r="A422" s="2"/>
      <c r="C422" s="3"/>
      <c r="D422" s="3"/>
      <c r="E422" s="3"/>
      <c r="F422" s="3"/>
      <c r="G422" s="3"/>
      <c r="H422" s="3"/>
      <c r="I422" s="3"/>
    </row>
    <row r="423" spans="1:9">
      <c r="A423" s="2"/>
      <c r="C423" s="3"/>
      <c r="D423" s="3"/>
      <c r="E423" s="3"/>
      <c r="F423" s="3"/>
      <c r="G423" s="3"/>
      <c r="H423" s="3"/>
      <c r="I423" s="3"/>
    </row>
    <row r="424" spans="1:9">
      <c r="A424" s="2"/>
      <c r="C424" s="3"/>
      <c r="D424" s="3"/>
      <c r="E424" s="3"/>
      <c r="F424" s="3"/>
      <c r="G424" s="3"/>
      <c r="H424" s="3"/>
      <c r="I424" s="3"/>
    </row>
    <row r="425" spans="1:9">
      <c r="A425" s="2"/>
      <c r="C425" s="3"/>
      <c r="D425" s="3"/>
      <c r="E425" s="3"/>
      <c r="F425" s="3"/>
      <c r="G425" s="3"/>
      <c r="H425" s="3"/>
      <c r="I425" s="3"/>
    </row>
    <row r="426" spans="1:9">
      <c r="A426" s="2"/>
      <c r="C426" s="3"/>
      <c r="D426" s="3"/>
      <c r="E426" s="3"/>
      <c r="F426" s="3"/>
      <c r="G426" s="3"/>
      <c r="H426" s="3"/>
      <c r="I426" s="3"/>
    </row>
    <row r="427" spans="1:9">
      <c r="A427" s="2"/>
      <c r="C427" s="3"/>
      <c r="D427" s="3"/>
      <c r="E427" s="3"/>
      <c r="F427" s="3"/>
      <c r="G427" s="3"/>
      <c r="H427" s="3"/>
      <c r="I427" s="3"/>
    </row>
    <row r="428" spans="1:9">
      <c r="A428" s="2"/>
      <c r="C428" s="3"/>
      <c r="D428" s="3"/>
      <c r="E428" s="3"/>
      <c r="F428" s="3"/>
      <c r="G428" s="3"/>
      <c r="H428" s="3"/>
      <c r="I428" s="3"/>
    </row>
    <row r="429" spans="1:9">
      <c r="A429" s="2"/>
      <c r="C429" s="3"/>
      <c r="D429" s="3"/>
      <c r="E429" s="3"/>
      <c r="F429" s="3"/>
      <c r="G429" s="3"/>
      <c r="H429" s="3"/>
      <c r="I429" s="3"/>
    </row>
    <row r="430" spans="1:9">
      <c r="A430" s="2"/>
      <c r="C430" s="3"/>
      <c r="D430" s="3"/>
      <c r="E430" s="3"/>
      <c r="F430" s="3"/>
      <c r="G430" s="3"/>
      <c r="H430" s="3"/>
      <c r="I430" s="3"/>
    </row>
    <row r="431" spans="1:9">
      <c r="A431" s="2"/>
      <c r="C431" s="3"/>
      <c r="D431" s="3"/>
      <c r="E431" s="3"/>
      <c r="F431" s="3"/>
      <c r="G431" s="3"/>
      <c r="H431" s="3"/>
      <c r="I431" s="3"/>
    </row>
    <row r="432" spans="1:9">
      <c r="A432" s="2"/>
      <c r="C432" s="3"/>
      <c r="D432" s="3"/>
      <c r="E432" s="3"/>
      <c r="F432" s="3"/>
      <c r="G432" s="3"/>
      <c r="H432" s="3"/>
      <c r="I432" s="3"/>
    </row>
    <row r="433" spans="1:9">
      <c r="A433" s="2"/>
      <c r="C433" s="3"/>
      <c r="D433" s="3"/>
      <c r="E433" s="3"/>
      <c r="F433" s="3"/>
      <c r="G433" s="3"/>
      <c r="H433" s="3"/>
      <c r="I433" s="3"/>
    </row>
    <row r="434" spans="1:9">
      <c r="A434" s="2"/>
      <c r="C434" s="3"/>
      <c r="D434" s="3"/>
      <c r="E434" s="3"/>
      <c r="F434" s="3"/>
      <c r="G434" s="3"/>
      <c r="H434" s="3"/>
      <c r="I434" s="3"/>
    </row>
    <row r="435" spans="1:9">
      <c r="A435" s="2"/>
      <c r="C435" s="3"/>
      <c r="D435" s="3"/>
      <c r="E435" s="3"/>
      <c r="F435" s="3"/>
      <c r="G435" s="3"/>
      <c r="H435" s="3"/>
      <c r="I435" s="3"/>
    </row>
    <row r="436" spans="1:9">
      <c r="A436" s="2"/>
      <c r="C436" s="3"/>
      <c r="D436" s="3"/>
      <c r="E436" s="3"/>
      <c r="F436" s="3"/>
      <c r="G436" s="3"/>
      <c r="H436" s="3"/>
      <c r="I436" s="3"/>
    </row>
    <row r="437" spans="1:9">
      <c r="A437" s="2"/>
      <c r="C437" s="3"/>
      <c r="D437" s="3"/>
      <c r="E437" s="3"/>
      <c r="F437" s="3"/>
      <c r="G437" s="3"/>
      <c r="H437" s="3"/>
      <c r="I437" s="3"/>
    </row>
    <row r="438" spans="1:9">
      <c r="A438" s="2"/>
      <c r="C438" s="3"/>
      <c r="D438" s="3"/>
      <c r="E438" s="3"/>
      <c r="F438" s="3"/>
      <c r="G438" s="3"/>
      <c r="H438" s="3"/>
      <c r="I438" s="3"/>
    </row>
    <row r="439" spans="1:9">
      <c r="A439" s="2"/>
      <c r="C439" s="3"/>
      <c r="D439" s="3"/>
      <c r="E439" s="3"/>
      <c r="F439" s="3"/>
      <c r="G439" s="3"/>
      <c r="H439" s="3"/>
      <c r="I439" s="3"/>
    </row>
    <row r="440" spans="1:9">
      <c r="A440" s="2"/>
      <c r="C440" s="3"/>
      <c r="D440" s="3"/>
      <c r="E440" s="3"/>
      <c r="F440" s="3"/>
      <c r="G440" s="3"/>
      <c r="H440" s="3"/>
      <c r="I440" s="3"/>
    </row>
    <row r="441" spans="1:9">
      <c r="A441" s="2"/>
      <c r="C441" s="3"/>
      <c r="D441" s="3"/>
      <c r="E441" s="3"/>
      <c r="F441" s="3"/>
      <c r="G441" s="3"/>
      <c r="H441" s="3"/>
      <c r="I441" s="3"/>
    </row>
    <row r="442" spans="1:9">
      <c r="A442" s="2"/>
      <c r="C442" s="3"/>
      <c r="D442" s="3"/>
      <c r="E442" s="3"/>
      <c r="F442" s="3"/>
      <c r="G442" s="3"/>
      <c r="H442" s="3"/>
      <c r="I442" s="3"/>
    </row>
    <row r="443" spans="1:9">
      <c r="A443" s="2"/>
      <c r="C443" s="3"/>
      <c r="D443" s="3"/>
      <c r="E443" s="3"/>
      <c r="F443" s="3"/>
      <c r="G443" s="3"/>
      <c r="H443" s="3"/>
      <c r="I443" s="3"/>
    </row>
    <row r="444" spans="1:9">
      <c r="A444" s="2"/>
      <c r="C444" s="3"/>
      <c r="D444" s="3"/>
      <c r="E444" s="3"/>
      <c r="F444" s="3"/>
      <c r="G444" s="3"/>
      <c r="H444" s="3"/>
      <c r="I444" s="3"/>
    </row>
    <row r="445" spans="1:9">
      <c r="A445" s="2"/>
      <c r="C445" s="3"/>
      <c r="D445" s="3"/>
      <c r="E445" s="3"/>
      <c r="F445" s="3"/>
      <c r="G445" s="3"/>
      <c r="H445" s="3"/>
      <c r="I445" s="3"/>
    </row>
    <row r="446" spans="1:9">
      <c r="A446" s="2"/>
      <c r="C446" s="3"/>
      <c r="D446" s="3"/>
      <c r="E446" s="3"/>
      <c r="F446" s="3"/>
      <c r="G446" s="3"/>
      <c r="H446" s="3"/>
      <c r="I446" s="3"/>
    </row>
    <row r="447" spans="1:9">
      <c r="A447" s="2"/>
      <c r="C447" s="3"/>
      <c r="D447" s="3"/>
      <c r="E447" s="3"/>
      <c r="F447" s="3"/>
      <c r="G447" s="3"/>
      <c r="H447" s="3"/>
      <c r="I447" s="3"/>
    </row>
    <row r="448" spans="1:9">
      <c r="A448" s="2"/>
      <c r="C448" s="3"/>
      <c r="D448" s="3"/>
      <c r="E448" s="3"/>
      <c r="F448" s="3"/>
      <c r="G448" s="3"/>
      <c r="H448" s="3"/>
      <c r="I448" s="3"/>
    </row>
    <row r="449" spans="1:9">
      <c r="A449" s="2"/>
      <c r="C449" s="3"/>
      <c r="D449" s="3"/>
      <c r="E449" s="3"/>
      <c r="F449" s="3"/>
      <c r="G449" s="3"/>
      <c r="H449" s="3"/>
      <c r="I449" s="3"/>
    </row>
    <row r="450" spans="1:9">
      <c r="A450" s="2"/>
      <c r="C450" s="3"/>
      <c r="D450" s="3"/>
      <c r="E450" s="3"/>
      <c r="F450" s="3"/>
      <c r="G450" s="3"/>
      <c r="H450" s="3"/>
      <c r="I450" s="3"/>
    </row>
    <row r="451" spans="1:9">
      <c r="A451" s="2"/>
      <c r="C451" s="3"/>
      <c r="D451" s="3"/>
      <c r="E451" s="3"/>
      <c r="F451" s="3"/>
      <c r="G451" s="3"/>
      <c r="H451" s="3"/>
      <c r="I451" s="3"/>
    </row>
    <row r="452" spans="1:9">
      <c r="A452" s="2"/>
      <c r="C452" s="3"/>
      <c r="D452" s="3"/>
      <c r="E452" s="3"/>
      <c r="F452" s="3"/>
      <c r="G452" s="3"/>
      <c r="H452" s="3"/>
      <c r="I452" s="3"/>
    </row>
    <row r="453" spans="1:9">
      <c r="A453" s="2"/>
      <c r="C453" s="3"/>
      <c r="D453" s="3"/>
      <c r="E453" s="3"/>
      <c r="F453" s="3"/>
      <c r="G453" s="3"/>
      <c r="H453" s="3"/>
      <c r="I453" s="3"/>
    </row>
    <row r="454" spans="1:9">
      <c r="A454" s="2"/>
      <c r="C454" s="3"/>
      <c r="D454" s="3"/>
      <c r="E454" s="3"/>
      <c r="F454" s="3"/>
      <c r="G454" s="3"/>
      <c r="H454" s="3"/>
      <c r="I454" s="3"/>
    </row>
    <row r="455" spans="1:9">
      <c r="A455" s="2"/>
      <c r="C455" s="3"/>
      <c r="D455" s="3"/>
      <c r="E455" s="3"/>
      <c r="F455" s="3"/>
      <c r="G455" s="3"/>
      <c r="H455" s="3"/>
      <c r="I455" s="3"/>
    </row>
    <row r="456" spans="1:9">
      <c r="A456" s="2"/>
      <c r="C456" s="3"/>
      <c r="D456" s="3"/>
      <c r="E456" s="3"/>
      <c r="F456" s="3"/>
      <c r="G456" s="3"/>
      <c r="H456" s="3"/>
      <c r="I456" s="3"/>
    </row>
    <row r="457" spans="1:9">
      <c r="A457" s="2"/>
      <c r="C457" s="3"/>
      <c r="D457" s="3"/>
      <c r="E457" s="3"/>
      <c r="F457" s="3"/>
      <c r="G457" s="3"/>
      <c r="H457" s="3"/>
      <c r="I457" s="3"/>
    </row>
    <row r="458" spans="1:9">
      <c r="A458" s="2"/>
      <c r="C458" s="3"/>
      <c r="D458" s="3"/>
      <c r="E458" s="3"/>
      <c r="F458" s="3"/>
      <c r="G458" s="3"/>
      <c r="H458" s="3"/>
      <c r="I458" s="3"/>
    </row>
    <row r="459" spans="1:9">
      <c r="A459" s="2"/>
      <c r="C459" s="3"/>
      <c r="D459" s="3"/>
      <c r="E459" s="3"/>
      <c r="F459" s="3"/>
      <c r="G459" s="3"/>
      <c r="H459" s="3"/>
      <c r="I459" s="3"/>
    </row>
    <row r="460" spans="1:9">
      <c r="A460" s="2"/>
      <c r="C460" s="3"/>
      <c r="D460" s="3"/>
      <c r="E460" s="3"/>
      <c r="F460" s="3"/>
      <c r="G460" s="3"/>
      <c r="H460" s="3"/>
      <c r="I460" s="3"/>
    </row>
    <row r="461" spans="1:9">
      <c r="A461" s="2"/>
      <c r="C461" s="3"/>
      <c r="D461" s="3"/>
      <c r="E461" s="3"/>
      <c r="F461" s="3"/>
      <c r="G461" s="3"/>
      <c r="H461" s="3"/>
      <c r="I461" s="3"/>
    </row>
    <row r="462" spans="1:9">
      <c r="A462" s="2"/>
      <c r="C462" s="3"/>
      <c r="D462" s="3"/>
      <c r="E462" s="3"/>
      <c r="F462" s="3"/>
      <c r="G462" s="3"/>
      <c r="H462" s="3"/>
      <c r="I462" s="3"/>
    </row>
    <row r="463" spans="1:9">
      <c r="A463" s="2"/>
      <c r="C463" s="3"/>
      <c r="D463" s="3"/>
      <c r="E463" s="3"/>
      <c r="F463" s="3"/>
      <c r="G463" s="3"/>
      <c r="H463" s="3"/>
      <c r="I463" s="3"/>
    </row>
    <row r="464" spans="1:9">
      <c r="A464" s="2"/>
      <c r="C464" s="3"/>
      <c r="D464" s="3"/>
      <c r="E464" s="3"/>
      <c r="F464" s="3"/>
      <c r="G464" s="3"/>
      <c r="H464" s="3"/>
      <c r="I464" s="3"/>
    </row>
    <row r="465" spans="1:9">
      <c r="A465" s="2"/>
      <c r="C465" s="3"/>
      <c r="D465" s="3"/>
      <c r="E465" s="3"/>
      <c r="F465" s="3"/>
      <c r="G465" s="3"/>
      <c r="H465" s="3"/>
      <c r="I465" s="3"/>
    </row>
    <row r="466" spans="1:9">
      <c r="A466" s="2"/>
      <c r="C466" s="3"/>
      <c r="D466" s="3"/>
      <c r="E466" s="3"/>
      <c r="F466" s="3"/>
      <c r="G466" s="3"/>
      <c r="H466" s="3"/>
      <c r="I466" s="3"/>
    </row>
    <row r="467" spans="1:9">
      <c r="A467" s="2"/>
      <c r="C467" s="3"/>
      <c r="D467" s="3"/>
      <c r="E467" s="3"/>
      <c r="F467" s="3"/>
      <c r="G467" s="3"/>
      <c r="H467" s="3"/>
      <c r="I467" s="3"/>
    </row>
    <row r="468" spans="1:9">
      <c r="A468" s="2"/>
      <c r="C468" s="3"/>
      <c r="D468" s="3"/>
      <c r="E468" s="3"/>
      <c r="F468" s="3"/>
      <c r="G468" s="3"/>
      <c r="H468" s="3"/>
      <c r="I468" s="3"/>
    </row>
    <row r="469" spans="1:9">
      <c r="A469" s="2"/>
      <c r="C469" s="3"/>
      <c r="D469" s="3"/>
      <c r="E469" s="3"/>
      <c r="F469" s="3"/>
      <c r="G469" s="3"/>
      <c r="H469" s="3"/>
      <c r="I469" s="3"/>
    </row>
    <row r="470" spans="1:9">
      <c r="A470" s="2"/>
      <c r="C470" s="3"/>
      <c r="D470" s="3"/>
      <c r="E470" s="3"/>
      <c r="F470" s="3"/>
      <c r="G470" s="3"/>
      <c r="H470" s="3"/>
      <c r="I470" s="3"/>
    </row>
    <row r="471" spans="1:9">
      <c r="A471" s="2"/>
      <c r="C471" s="3"/>
      <c r="D471" s="3"/>
      <c r="E471" s="3"/>
      <c r="F471" s="3"/>
      <c r="G471" s="3"/>
      <c r="H471" s="3"/>
      <c r="I471" s="3"/>
    </row>
    <row r="472" spans="1:9">
      <c r="A472" s="2"/>
      <c r="C472" s="3"/>
      <c r="D472" s="3"/>
      <c r="E472" s="3"/>
      <c r="F472" s="3"/>
      <c r="G472" s="3"/>
      <c r="H472" s="3"/>
      <c r="I472" s="3"/>
    </row>
    <row r="473" spans="1:9">
      <c r="A473" s="2"/>
      <c r="C473" s="3"/>
      <c r="D473" s="3"/>
      <c r="E473" s="3"/>
      <c r="F473" s="3"/>
      <c r="G473" s="3"/>
      <c r="H473" s="3"/>
      <c r="I473" s="3"/>
    </row>
    <row r="474" spans="1:9">
      <c r="A474" s="2"/>
      <c r="C474" s="3"/>
      <c r="D474" s="3"/>
      <c r="E474" s="3"/>
      <c r="F474" s="3"/>
      <c r="G474" s="3"/>
      <c r="H474" s="3"/>
      <c r="I474" s="3"/>
    </row>
    <row r="475" spans="1:9">
      <c r="A475" s="2"/>
      <c r="C475" s="3"/>
      <c r="D475" s="3"/>
      <c r="E475" s="3"/>
      <c r="F475" s="3"/>
      <c r="G475" s="3"/>
      <c r="H475" s="3"/>
      <c r="I475" s="3"/>
    </row>
    <row r="476" spans="1:9">
      <c r="A476" s="2"/>
      <c r="C476" s="3"/>
      <c r="D476" s="3"/>
      <c r="E476" s="3"/>
      <c r="F476" s="3"/>
      <c r="G476" s="3"/>
      <c r="H476" s="3"/>
      <c r="I476" s="3"/>
    </row>
    <row r="477" spans="1:9">
      <c r="A477" s="2"/>
      <c r="C477" s="3"/>
      <c r="D477" s="3"/>
      <c r="E477" s="3"/>
      <c r="F477" s="3"/>
      <c r="G477" s="3"/>
      <c r="H477" s="3"/>
      <c r="I477" s="3"/>
    </row>
    <row r="478" spans="1:9">
      <c r="A478" s="2"/>
      <c r="C478" s="3"/>
      <c r="D478" s="3"/>
      <c r="E478" s="3"/>
      <c r="F478" s="3"/>
      <c r="G478" s="3"/>
      <c r="H478" s="3"/>
      <c r="I478" s="3"/>
    </row>
    <row r="479" spans="1:9">
      <c r="A479" s="2"/>
      <c r="C479" s="3"/>
      <c r="D479" s="3"/>
      <c r="E479" s="3"/>
      <c r="F479" s="3"/>
      <c r="G479" s="3"/>
      <c r="H479" s="3"/>
      <c r="I479" s="3"/>
    </row>
    <row r="480" spans="1:9">
      <c r="A480" s="2"/>
      <c r="C480" s="3"/>
      <c r="D480" s="3"/>
      <c r="E480" s="3"/>
      <c r="F480" s="3"/>
      <c r="G480" s="3"/>
      <c r="H480" s="3"/>
      <c r="I480" s="3"/>
    </row>
    <row r="481" spans="1:9">
      <c r="A481" s="2"/>
      <c r="C481" s="3"/>
      <c r="D481" s="3"/>
      <c r="E481" s="3"/>
      <c r="F481" s="3"/>
      <c r="G481" s="3"/>
      <c r="H481" s="3"/>
      <c r="I481" s="3"/>
    </row>
    <row r="482" spans="1:9">
      <c r="A482" s="2"/>
      <c r="C482" s="3"/>
      <c r="D482" s="3"/>
      <c r="E482" s="3"/>
      <c r="F482" s="3"/>
      <c r="G482" s="3"/>
      <c r="H482" s="3"/>
      <c r="I482" s="3"/>
    </row>
    <row r="483" spans="1:9">
      <c r="A483" s="2"/>
      <c r="C483" s="3"/>
      <c r="D483" s="3"/>
      <c r="E483" s="3"/>
      <c r="F483" s="3"/>
      <c r="G483" s="3"/>
      <c r="H483" s="3"/>
      <c r="I483" s="3"/>
    </row>
    <row r="484" spans="1:9">
      <c r="A484" s="2"/>
      <c r="C484" s="3"/>
      <c r="D484" s="3"/>
      <c r="E484" s="3"/>
      <c r="F484" s="3"/>
      <c r="G484" s="3"/>
      <c r="H484" s="3"/>
      <c r="I484" s="3"/>
    </row>
    <row r="485" spans="1:9">
      <c r="A485" s="2"/>
      <c r="C485" s="3"/>
      <c r="D485" s="3"/>
      <c r="E485" s="3"/>
      <c r="F485" s="3"/>
      <c r="G485" s="3"/>
      <c r="H485" s="3"/>
      <c r="I485" s="3"/>
    </row>
    <row r="486" spans="1:9">
      <c r="A486" s="2"/>
      <c r="C486" s="3"/>
      <c r="D486" s="3"/>
      <c r="E486" s="3"/>
      <c r="F486" s="3"/>
      <c r="G486" s="3"/>
      <c r="H486" s="3"/>
      <c r="I486" s="3"/>
    </row>
    <row r="487" spans="1:9">
      <c r="A487" s="2"/>
      <c r="C487" s="3"/>
      <c r="D487" s="3"/>
      <c r="E487" s="3"/>
      <c r="F487" s="3"/>
      <c r="G487" s="3"/>
      <c r="H487" s="3"/>
      <c r="I487" s="3"/>
    </row>
    <row r="488" spans="1:9">
      <c r="A488" s="2"/>
      <c r="C488" s="3"/>
      <c r="D488" s="3"/>
      <c r="E488" s="3"/>
      <c r="F488" s="3"/>
      <c r="G488" s="3"/>
      <c r="H488" s="3"/>
      <c r="I488" s="3"/>
    </row>
    <row r="489" spans="1:9">
      <c r="A489" s="2"/>
      <c r="C489" s="3"/>
      <c r="D489" s="3"/>
      <c r="E489" s="3"/>
      <c r="F489" s="3"/>
      <c r="G489" s="3"/>
      <c r="H489" s="3"/>
      <c r="I489" s="3"/>
    </row>
    <row r="490" spans="1:9">
      <c r="A490" s="2"/>
      <c r="C490" s="3"/>
      <c r="D490" s="3"/>
      <c r="E490" s="3"/>
      <c r="F490" s="3"/>
      <c r="G490" s="3"/>
      <c r="H490" s="3"/>
      <c r="I490" s="3"/>
    </row>
    <row r="491" spans="1:9">
      <c r="A491" s="2"/>
      <c r="C491" s="3"/>
      <c r="D491" s="3"/>
      <c r="E491" s="3"/>
      <c r="F491" s="3"/>
      <c r="G491" s="3"/>
      <c r="H491" s="3"/>
      <c r="I491" s="3"/>
    </row>
    <row r="492" spans="1:9">
      <c r="A492" s="2"/>
      <c r="C492" s="3"/>
      <c r="D492" s="3"/>
      <c r="E492" s="3"/>
      <c r="F492" s="3"/>
      <c r="G492" s="3"/>
      <c r="H492" s="3"/>
      <c r="I492" s="3"/>
    </row>
    <row r="493" spans="1:9">
      <c r="A493" s="2"/>
      <c r="C493" s="3"/>
      <c r="D493" s="3"/>
      <c r="E493" s="3"/>
      <c r="F493" s="3"/>
      <c r="G493" s="3"/>
      <c r="H493" s="3"/>
      <c r="I493" s="3"/>
    </row>
    <row r="494" spans="1:9">
      <c r="A494" s="2"/>
      <c r="C494" s="3"/>
      <c r="D494" s="3"/>
      <c r="E494" s="3"/>
      <c r="F494" s="3"/>
      <c r="G494" s="3"/>
      <c r="H494" s="3"/>
      <c r="I494" s="3"/>
    </row>
    <row r="495" spans="1:9">
      <c r="A495" s="2"/>
      <c r="C495" s="3"/>
      <c r="D495" s="3"/>
      <c r="E495" s="3"/>
      <c r="F495" s="3"/>
      <c r="G495" s="3"/>
      <c r="H495" s="3"/>
      <c r="I495" s="3"/>
    </row>
    <row r="496" spans="1:9">
      <c r="A496" s="2"/>
      <c r="C496" s="3"/>
      <c r="D496" s="3"/>
      <c r="E496" s="3"/>
      <c r="F496" s="3"/>
      <c r="G496" s="3"/>
      <c r="H496" s="3"/>
      <c r="I496" s="3"/>
    </row>
    <row r="497" spans="1:9">
      <c r="A497" s="2"/>
      <c r="C497" s="3"/>
      <c r="D497" s="3"/>
      <c r="E497" s="3"/>
      <c r="F497" s="3"/>
      <c r="G497" s="3"/>
      <c r="H497" s="3"/>
      <c r="I497" s="3"/>
    </row>
    <row r="498" spans="1:9">
      <c r="A498" s="2"/>
      <c r="C498" s="3"/>
      <c r="D498" s="3"/>
      <c r="E498" s="3"/>
      <c r="F498" s="3"/>
      <c r="G498" s="3"/>
      <c r="H498" s="3"/>
      <c r="I498" s="3"/>
    </row>
    <row r="499" spans="1:9">
      <c r="A499" s="2"/>
      <c r="C499" s="3"/>
      <c r="D499" s="3"/>
      <c r="E499" s="3"/>
      <c r="F499" s="3"/>
      <c r="G499" s="3"/>
      <c r="H499" s="3"/>
      <c r="I499" s="3"/>
    </row>
    <row r="500" spans="1:9">
      <c r="A500" s="2"/>
      <c r="C500" s="3"/>
      <c r="D500" s="3"/>
      <c r="E500" s="3"/>
      <c r="F500" s="3"/>
      <c r="G500" s="3"/>
      <c r="H500" s="3"/>
      <c r="I500" s="3"/>
    </row>
    <row r="501" spans="1:9">
      <c r="A501" s="2"/>
      <c r="C501" s="3"/>
      <c r="D501" s="3"/>
      <c r="E501" s="3"/>
      <c r="F501" s="3"/>
      <c r="G501" s="3"/>
      <c r="H501" s="3"/>
      <c r="I501" s="3"/>
    </row>
    <row r="502" spans="1:9">
      <c r="A502" s="2"/>
      <c r="C502" s="3"/>
      <c r="D502" s="3"/>
      <c r="E502" s="3"/>
      <c r="F502" s="3"/>
      <c r="G502" s="3"/>
      <c r="H502" s="3"/>
      <c r="I502" s="3"/>
    </row>
    <row r="503" spans="1:9">
      <c r="A503" s="2"/>
      <c r="C503" s="3"/>
      <c r="D503" s="3"/>
      <c r="E503" s="3"/>
      <c r="F503" s="3"/>
      <c r="G503" s="3"/>
      <c r="H503" s="3"/>
      <c r="I503" s="3"/>
    </row>
    <row r="504" spans="1:9">
      <c r="A504" s="2"/>
      <c r="C504" s="3"/>
      <c r="D504" s="3"/>
      <c r="E504" s="3"/>
      <c r="F504" s="3"/>
      <c r="G504" s="3"/>
      <c r="H504" s="3"/>
      <c r="I504" s="3"/>
    </row>
    <row r="505" spans="1:9">
      <c r="A505" s="2"/>
      <c r="C505" s="3"/>
      <c r="D505" s="3"/>
      <c r="E505" s="3"/>
      <c r="F505" s="3"/>
      <c r="G505" s="3"/>
      <c r="H505" s="3"/>
      <c r="I505" s="3"/>
    </row>
    <row r="506" spans="1:9">
      <c r="A506" s="2"/>
      <c r="C506" s="3"/>
      <c r="D506" s="3"/>
      <c r="E506" s="3"/>
      <c r="F506" s="3"/>
      <c r="G506" s="3"/>
      <c r="H506" s="3"/>
      <c r="I506" s="3"/>
    </row>
    <row r="507" spans="1:9">
      <c r="A507" s="2"/>
      <c r="C507" s="3"/>
      <c r="D507" s="3"/>
      <c r="E507" s="3"/>
      <c r="F507" s="3"/>
      <c r="G507" s="3"/>
      <c r="H507" s="3"/>
      <c r="I507" s="3"/>
    </row>
    <row r="508" spans="1:9">
      <c r="A508" s="2"/>
      <c r="C508" s="3"/>
      <c r="D508" s="3"/>
      <c r="E508" s="3"/>
      <c r="F508" s="3"/>
      <c r="G508" s="3"/>
      <c r="H508" s="3"/>
      <c r="I508" s="3"/>
    </row>
    <row r="509" spans="1:9">
      <c r="A509" s="2"/>
      <c r="C509" s="3"/>
      <c r="D509" s="3"/>
      <c r="E509" s="3"/>
      <c r="F509" s="3"/>
      <c r="G509" s="3"/>
      <c r="H509" s="3"/>
      <c r="I509" s="3"/>
    </row>
    <row r="510" spans="1:9">
      <c r="A510" s="2"/>
      <c r="C510" s="3"/>
      <c r="D510" s="3"/>
      <c r="E510" s="3"/>
      <c r="F510" s="3"/>
      <c r="G510" s="3"/>
      <c r="H510" s="3"/>
      <c r="I510" s="3"/>
    </row>
    <row r="511" spans="1:9">
      <c r="A511" s="2"/>
      <c r="C511" s="3"/>
      <c r="D511" s="3"/>
      <c r="E511" s="3"/>
      <c r="F511" s="3"/>
      <c r="G511" s="3"/>
      <c r="H511" s="3"/>
      <c r="I511" s="3"/>
    </row>
    <row r="512" spans="1:9">
      <c r="A512" s="2"/>
      <c r="C512" s="3"/>
      <c r="D512" s="3"/>
      <c r="E512" s="3"/>
      <c r="F512" s="3"/>
      <c r="G512" s="3"/>
      <c r="H512" s="3"/>
      <c r="I512" s="3"/>
    </row>
    <row r="513" spans="1:9">
      <c r="A513" s="2"/>
      <c r="C513" s="3"/>
      <c r="D513" s="3"/>
      <c r="E513" s="3"/>
      <c r="F513" s="3"/>
      <c r="G513" s="3"/>
      <c r="H513" s="3"/>
      <c r="I513" s="3"/>
    </row>
    <row r="514" spans="1:9">
      <c r="A514" s="2"/>
      <c r="C514" s="3"/>
      <c r="D514" s="3"/>
      <c r="E514" s="3"/>
      <c r="F514" s="3"/>
      <c r="G514" s="3"/>
      <c r="H514" s="3"/>
      <c r="I514" s="3"/>
    </row>
    <row r="515" spans="1:9">
      <c r="A515" s="2"/>
      <c r="C515" s="3"/>
      <c r="D515" s="3"/>
      <c r="E515" s="3"/>
      <c r="F515" s="3"/>
      <c r="G515" s="3"/>
      <c r="H515" s="3"/>
      <c r="I515" s="3"/>
    </row>
    <row r="516" spans="1:9">
      <c r="A516" s="2"/>
      <c r="C516" s="3"/>
      <c r="D516" s="3"/>
      <c r="E516" s="3"/>
      <c r="F516" s="3"/>
      <c r="G516" s="3"/>
      <c r="H516" s="3"/>
      <c r="I516" s="3"/>
    </row>
    <row r="517" spans="1:9">
      <c r="A517" s="2"/>
      <c r="C517" s="3"/>
      <c r="D517" s="3"/>
      <c r="E517" s="3"/>
      <c r="F517" s="3"/>
      <c r="G517" s="3"/>
      <c r="H517" s="3"/>
      <c r="I517" s="3"/>
    </row>
    <row r="518" spans="1:9">
      <c r="A518" s="2"/>
      <c r="C518" s="3"/>
      <c r="D518" s="3"/>
      <c r="E518" s="3"/>
      <c r="F518" s="3"/>
      <c r="G518" s="3"/>
      <c r="H518" s="3"/>
      <c r="I518" s="3"/>
    </row>
    <row r="519" spans="1:9">
      <c r="A519" s="2"/>
      <c r="C519" s="3"/>
      <c r="D519" s="3"/>
      <c r="E519" s="3"/>
      <c r="F519" s="3"/>
      <c r="G519" s="3"/>
      <c r="H519" s="3"/>
      <c r="I519" s="3"/>
    </row>
    <row r="520" spans="1:9">
      <c r="A520" s="2"/>
      <c r="C520" s="3"/>
      <c r="D520" s="3"/>
      <c r="E520" s="3"/>
      <c r="F520" s="3"/>
      <c r="G520" s="3"/>
      <c r="H520" s="3"/>
      <c r="I520" s="3"/>
    </row>
    <row r="521" spans="1:9">
      <c r="A521" s="2"/>
      <c r="C521" s="3"/>
      <c r="D521" s="3"/>
      <c r="E521" s="3"/>
      <c r="F521" s="3"/>
      <c r="G521" s="3"/>
      <c r="H521" s="3"/>
      <c r="I521" s="3"/>
    </row>
    <row r="522" spans="1:9">
      <c r="A522" s="2"/>
      <c r="C522" s="3"/>
      <c r="D522" s="3"/>
      <c r="E522" s="3"/>
      <c r="F522" s="3"/>
      <c r="G522" s="3"/>
      <c r="H522" s="3"/>
      <c r="I522" s="3"/>
    </row>
    <row r="523" spans="1:9">
      <c r="A523" s="2"/>
      <c r="C523" s="3"/>
      <c r="D523" s="3"/>
      <c r="E523" s="3"/>
      <c r="F523" s="3"/>
      <c r="G523" s="3"/>
      <c r="H523" s="3"/>
      <c r="I523" s="3"/>
    </row>
    <row r="524" spans="1:9">
      <c r="A524" s="2"/>
      <c r="C524" s="3"/>
      <c r="D524" s="3"/>
      <c r="E524" s="3"/>
      <c r="F524" s="3"/>
      <c r="G524" s="3"/>
      <c r="H524" s="3"/>
      <c r="I524" s="3"/>
    </row>
    <row r="525" spans="1:9">
      <c r="A525" s="2"/>
      <c r="C525" s="3"/>
      <c r="D525" s="3"/>
      <c r="E525" s="3"/>
      <c r="F525" s="3"/>
      <c r="G525" s="3"/>
      <c r="H525" s="3"/>
      <c r="I525" s="3"/>
    </row>
    <row r="526" spans="1:9">
      <c r="A526" s="2"/>
      <c r="C526" s="3"/>
      <c r="D526" s="3"/>
      <c r="E526" s="3"/>
      <c r="F526" s="3"/>
      <c r="G526" s="3"/>
      <c r="H526" s="3"/>
      <c r="I526" s="3"/>
    </row>
    <row r="527" spans="1:9">
      <c r="A527" s="2"/>
      <c r="C527" s="3"/>
      <c r="D527" s="3"/>
      <c r="E527" s="3"/>
      <c r="F527" s="3"/>
      <c r="G527" s="3"/>
      <c r="H527" s="3"/>
      <c r="I527" s="3"/>
    </row>
    <row r="528" spans="1:9">
      <c r="A528" s="2"/>
      <c r="C528" s="3"/>
      <c r="D528" s="3"/>
      <c r="E528" s="3"/>
      <c r="F528" s="3"/>
      <c r="G528" s="3"/>
      <c r="H528" s="3"/>
      <c r="I528" s="3"/>
    </row>
    <row r="529" spans="1:9">
      <c r="A529" s="2"/>
      <c r="C529" s="3"/>
      <c r="D529" s="3"/>
      <c r="E529" s="3"/>
      <c r="F529" s="3"/>
      <c r="G529" s="3"/>
      <c r="H529" s="3"/>
      <c r="I529" s="3"/>
    </row>
    <row r="530" spans="1:9">
      <c r="A530" s="2"/>
      <c r="C530" s="3"/>
      <c r="D530" s="3"/>
      <c r="E530" s="3"/>
      <c r="F530" s="3"/>
      <c r="G530" s="3"/>
      <c r="H530" s="3"/>
      <c r="I530" s="3"/>
    </row>
    <row r="531" spans="1:9">
      <c r="A531" s="2"/>
      <c r="C531" s="3"/>
      <c r="D531" s="3"/>
      <c r="E531" s="3"/>
      <c r="F531" s="3"/>
      <c r="G531" s="3"/>
      <c r="H531" s="3"/>
      <c r="I531" s="3"/>
    </row>
    <row r="532" spans="1:9">
      <c r="A532" s="2"/>
      <c r="C532" s="3"/>
      <c r="D532" s="3"/>
      <c r="E532" s="3"/>
      <c r="F532" s="3"/>
      <c r="G532" s="3"/>
      <c r="H532" s="3"/>
      <c r="I532" s="3"/>
    </row>
    <row r="533" spans="1:9">
      <c r="A533" s="2"/>
      <c r="C533" s="3"/>
      <c r="D533" s="3"/>
      <c r="E533" s="3"/>
      <c r="F533" s="3"/>
      <c r="G533" s="3"/>
      <c r="H533" s="3"/>
      <c r="I533" s="3"/>
    </row>
    <row r="534" spans="1:9">
      <c r="A534" s="2"/>
      <c r="C534" s="3"/>
      <c r="D534" s="3"/>
      <c r="E534" s="3"/>
      <c r="F534" s="3"/>
      <c r="G534" s="3"/>
      <c r="H534" s="3"/>
      <c r="I534" s="3"/>
    </row>
    <row r="535" spans="1:9">
      <c r="A535" s="2"/>
      <c r="C535" s="3"/>
      <c r="D535" s="3"/>
      <c r="E535" s="3"/>
      <c r="F535" s="3"/>
      <c r="G535" s="3"/>
      <c r="H535" s="3"/>
      <c r="I535" s="3"/>
    </row>
    <row r="536" spans="1:9">
      <c r="A536" s="2"/>
      <c r="C536" s="3"/>
      <c r="D536" s="3"/>
      <c r="E536" s="3"/>
      <c r="F536" s="3"/>
      <c r="G536" s="3"/>
      <c r="H536" s="3"/>
      <c r="I536" s="3"/>
    </row>
    <row r="537" spans="1:9">
      <c r="A537" s="2"/>
      <c r="C537" s="3"/>
      <c r="D537" s="3"/>
      <c r="E537" s="3"/>
      <c r="F537" s="3"/>
      <c r="G537" s="3"/>
      <c r="H537" s="3"/>
      <c r="I537" s="3"/>
    </row>
    <row r="538" spans="1:9">
      <c r="A538" s="2"/>
      <c r="C538" s="3"/>
      <c r="D538" s="3"/>
      <c r="E538" s="3"/>
      <c r="F538" s="3"/>
      <c r="G538" s="3"/>
      <c r="H538" s="3"/>
      <c r="I538" s="3"/>
    </row>
    <row r="539" spans="1:9">
      <c r="A539" s="2"/>
      <c r="C539" s="3"/>
      <c r="D539" s="3"/>
      <c r="E539" s="3"/>
      <c r="F539" s="3"/>
      <c r="G539" s="3"/>
      <c r="H539" s="3"/>
      <c r="I539" s="3"/>
    </row>
    <row r="540" spans="1:9">
      <c r="A540" s="2"/>
      <c r="C540" s="3"/>
      <c r="D540" s="3"/>
      <c r="E540" s="3"/>
      <c r="F540" s="3"/>
      <c r="G540" s="3"/>
      <c r="H540" s="3"/>
      <c r="I540" s="3"/>
    </row>
    <row r="541" spans="1:9">
      <c r="A541" s="2"/>
      <c r="C541" s="3"/>
      <c r="D541" s="3"/>
      <c r="E541" s="3"/>
      <c r="F541" s="3"/>
      <c r="G541" s="3"/>
      <c r="H541" s="3"/>
      <c r="I541" s="3"/>
    </row>
    <row r="542" spans="1:9">
      <c r="A542" s="2"/>
      <c r="C542" s="3"/>
      <c r="D542" s="3"/>
      <c r="E542" s="3"/>
      <c r="F542" s="3"/>
      <c r="G542" s="3"/>
      <c r="H542" s="3"/>
      <c r="I542" s="3"/>
    </row>
    <row r="543" spans="1:9">
      <c r="A543" s="2"/>
      <c r="C543" s="3"/>
      <c r="D543" s="3"/>
      <c r="E543" s="3"/>
      <c r="F543" s="3"/>
      <c r="G543" s="3"/>
      <c r="H543" s="3"/>
      <c r="I543" s="3"/>
    </row>
    <row r="544" spans="1:9">
      <c r="A544" s="2"/>
      <c r="C544" s="3"/>
      <c r="D544" s="3"/>
      <c r="E544" s="3"/>
      <c r="F544" s="3"/>
      <c r="G544" s="3"/>
      <c r="H544" s="3"/>
      <c r="I544" s="3"/>
    </row>
    <row r="545" spans="1:9">
      <c r="A545" s="2"/>
      <c r="C545" s="3"/>
      <c r="D545" s="3"/>
      <c r="E545" s="3"/>
      <c r="F545" s="3"/>
      <c r="G545" s="3"/>
      <c r="H545" s="3"/>
      <c r="I545" s="3"/>
    </row>
    <row r="546" spans="1:9">
      <c r="A546" s="2"/>
      <c r="C546" s="3"/>
      <c r="D546" s="3"/>
      <c r="E546" s="3"/>
      <c r="F546" s="3"/>
      <c r="G546" s="3"/>
      <c r="H546" s="3"/>
      <c r="I546" s="3"/>
    </row>
    <row r="547" spans="1:9">
      <c r="A547" s="2"/>
      <c r="C547" s="3"/>
      <c r="D547" s="3"/>
      <c r="E547" s="3"/>
      <c r="F547" s="3"/>
      <c r="G547" s="3"/>
      <c r="H547" s="3"/>
      <c r="I547" s="3"/>
    </row>
    <row r="548" spans="1:9">
      <c r="A548" s="2"/>
      <c r="C548" s="3"/>
      <c r="D548" s="3"/>
      <c r="E548" s="3"/>
      <c r="F548" s="3"/>
      <c r="G548" s="3"/>
      <c r="H548" s="3"/>
      <c r="I548" s="3"/>
    </row>
    <row r="549" spans="1:9">
      <c r="A549" s="2"/>
      <c r="C549" s="3"/>
      <c r="D549" s="3"/>
      <c r="E549" s="3"/>
      <c r="F549" s="3"/>
      <c r="G549" s="3"/>
      <c r="H549" s="3"/>
      <c r="I549" s="3"/>
    </row>
    <row r="550" spans="1:9">
      <c r="A550" s="2"/>
      <c r="C550" s="3"/>
      <c r="D550" s="3"/>
      <c r="E550" s="3"/>
      <c r="F550" s="3"/>
      <c r="G550" s="3"/>
      <c r="H550" s="3"/>
      <c r="I550" s="3"/>
    </row>
    <row r="551" spans="1:9">
      <c r="A551" s="2"/>
      <c r="C551" s="3"/>
      <c r="D551" s="3"/>
      <c r="E551" s="3"/>
      <c r="F551" s="3"/>
      <c r="G551" s="3"/>
      <c r="H551" s="3"/>
      <c r="I551" s="3"/>
    </row>
    <row r="552" spans="1:9">
      <c r="A552" s="2"/>
      <c r="C552" s="3"/>
      <c r="D552" s="3"/>
      <c r="E552" s="3"/>
      <c r="F552" s="3"/>
      <c r="G552" s="3"/>
      <c r="H552" s="3"/>
      <c r="I552" s="3"/>
    </row>
    <row r="553" spans="1:9">
      <c r="A553" s="2"/>
      <c r="C553" s="3"/>
      <c r="D553" s="3"/>
      <c r="E553" s="3"/>
      <c r="F553" s="3"/>
      <c r="G553" s="3"/>
      <c r="H553" s="3"/>
      <c r="I553" s="3"/>
    </row>
    <row r="554" spans="1:9">
      <c r="A554" s="2"/>
      <c r="C554" s="3"/>
      <c r="D554" s="3"/>
      <c r="E554" s="3"/>
      <c r="F554" s="3"/>
      <c r="G554" s="3"/>
      <c r="H554" s="3"/>
      <c r="I554" s="3"/>
    </row>
    <row r="555" spans="1:9">
      <c r="A555" s="2"/>
      <c r="C555" s="3"/>
      <c r="D555" s="3"/>
      <c r="E555" s="3"/>
      <c r="F555" s="3"/>
      <c r="G555" s="3"/>
      <c r="H555" s="3"/>
      <c r="I555" s="3"/>
    </row>
    <row r="556" spans="1:9">
      <c r="A556" s="2"/>
      <c r="C556" s="3"/>
      <c r="D556" s="3"/>
      <c r="E556" s="3"/>
      <c r="F556" s="3"/>
      <c r="G556" s="3"/>
      <c r="H556" s="3"/>
      <c r="I556" s="3"/>
    </row>
    <row r="557" spans="1:9">
      <c r="A557" s="2"/>
      <c r="C557" s="3"/>
      <c r="D557" s="3"/>
      <c r="E557" s="3"/>
      <c r="F557" s="3"/>
      <c r="G557" s="3"/>
      <c r="H557" s="3"/>
      <c r="I557" s="3"/>
    </row>
    <row r="558" spans="1:9">
      <c r="A558" s="2"/>
      <c r="C558" s="3"/>
      <c r="D558" s="3"/>
      <c r="E558" s="3"/>
      <c r="F558" s="3"/>
      <c r="G558" s="3"/>
      <c r="H558" s="3"/>
      <c r="I558" s="3"/>
    </row>
    <row r="559" spans="1:9">
      <c r="A559" s="2"/>
      <c r="C559" s="3"/>
      <c r="D559" s="3"/>
      <c r="E559" s="3"/>
      <c r="F559" s="3"/>
      <c r="G559" s="3"/>
      <c r="H559" s="3"/>
      <c r="I559" s="3"/>
    </row>
    <row r="560" spans="1:9">
      <c r="A560" s="2"/>
      <c r="C560" s="3"/>
      <c r="D560" s="3"/>
      <c r="E560" s="3"/>
      <c r="F560" s="3"/>
      <c r="G560" s="3"/>
      <c r="H560" s="3"/>
      <c r="I560" s="3"/>
    </row>
    <row r="561" spans="1:9">
      <c r="A561" s="2"/>
      <c r="C561" s="3"/>
      <c r="D561" s="3"/>
      <c r="E561" s="3"/>
      <c r="F561" s="3"/>
      <c r="G561" s="3"/>
      <c r="H561" s="3"/>
      <c r="I561" s="3"/>
    </row>
    <row r="562" spans="1:9">
      <c r="A562" s="2"/>
      <c r="C562" s="3"/>
      <c r="D562" s="3"/>
      <c r="E562" s="3"/>
      <c r="F562" s="3"/>
      <c r="G562" s="3"/>
      <c r="H562" s="3"/>
      <c r="I562" s="3"/>
    </row>
    <row r="563" spans="1:9">
      <c r="A563" s="2"/>
      <c r="C563" s="3"/>
      <c r="D563" s="3"/>
      <c r="E563" s="3"/>
      <c r="F563" s="3"/>
      <c r="G563" s="3"/>
      <c r="H563" s="3"/>
      <c r="I563" s="3"/>
    </row>
    <row r="564" spans="1:9">
      <c r="A564" s="2"/>
      <c r="C564" s="3"/>
      <c r="D564" s="3"/>
      <c r="E564" s="3"/>
      <c r="F564" s="3"/>
      <c r="G564" s="3"/>
      <c r="H564" s="3"/>
      <c r="I564" s="3"/>
    </row>
    <row r="565" spans="1:9">
      <c r="A565" s="2"/>
      <c r="C565" s="3"/>
      <c r="D565" s="3"/>
      <c r="E565" s="3"/>
      <c r="F565" s="3"/>
      <c r="G565" s="3"/>
      <c r="H565" s="3"/>
      <c r="I565" s="3"/>
    </row>
    <row r="566" spans="1:9">
      <c r="A566" s="2"/>
      <c r="C566" s="3"/>
      <c r="D566" s="3"/>
      <c r="E566" s="3"/>
      <c r="F566" s="3"/>
      <c r="G566" s="3"/>
      <c r="H566" s="3"/>
      <c r="I566" s="3"/>
    </row>
    <row r="567" spans="1:9">
      <c r="A567" s="2"/>
      <c r="C567" s="3"/>
      <c r="D567" s="3"/>
      <c r="E567" s="3"/>
      <c r="F567" s="3"/>
      <c r="G567" s="3"/>
      <c r="H567" s="3"/>
      <c r="I567" s="3"/>
    </row>
    <row r="568" spans="1:9">
      <c r="A568" s="2"/>
      <c r="C568" s="3"/>
      <c r="D568" s="3"/>
      <c r="E568" s="3"/>
      <c r="F568" s="3"/>
      <c r="G568" s="3"/>
      <c r="H568" s="3"/>
      <c r="I568" s="3"/>
    </row>
    <row r="569" spans="1:9">
      <c r="A569" s="2"/>
      <c r="C569" s="3"/>
      <c r="D569" s="3"/>
      <c r="E569" s="3"/>
      <c r="F569" s="3"/>
      <c r="G569" s="3"/>
      <c r="H569" s="3"/>
      <c r="I569" s="3"/>
    </row>
    <row r="570" spans="1:9">
      <c r="A570" s="2"/>
      <c r="C570" s="3"/>
      <c r="D570" s="3"/>
      <c r="E570" s="3"/>
      <c r="F570" s="3"/>
      <c r="G570" s="3"/>
      <c r="H570" s="3"/>
      <c r="I570" s="3"/>
    </row>
    <row r="571" spans="1:9">
      <c r="A571" s="2"/>
      <c r="C571" s="3"/>
      <c r="D571" s="3"/>
      <c r="E571" s="3"/>
      <c r="F571" s="3"/>
      <c r="G571" s="3"/>
      <c r="H571" s="3"/>
      <c r="I571" s="3"/>
    </row>
    <row r="572" spans="1:9">
      <c r="A572" s="2"/>
      <c r="C572" s="3"/>
      <c r="D572" s="3"/>
      <c r="E572" s="3"/>
      <c r="F572" s="3"/>
      <c r="G572" s="3"/>
      <c r="H572" s="3"/>
      <c r="I572" s="3"/>
    </row>
    <row r="573" spans="1:9">
      <c r="A573" s="2"/>
      <c r="C573" s="3"/>
      <c r="D573" s="3"/>
      <c r="E573" s="3"/>
      <c r="F573" s="3"/>
      <c r="G573" s="3"/>
      <c r="H573" s="3"/>
      <c r="I573" s="3"/>
    </row>
    <row r="574" spans="1:9">
      <c r="A574" s="2"/>
      <c r="C574" s="3"/>
      <c r="D574" s="3"/>
      <c r="E574" s="3"/>
      <c r="F574" s="3"/>
      <c r="G574" s="3"/>
      <c r="H574" s="3"/>
      <c r="I574" s="3"/>
    </row>
    <row r="575" spans="1:9">
      <c r="A575" s="2"/>
      <c r="C575" s="3"/>
      <c r="D575" s="3"/>
      <c r="E575" s="3"/>
      <c r="F575" s="3"/>
      <c r="G575" s="3"/>
      <c r="H575" s="3"/>
      <c r="I575" s="3"/>
    </row>
    <row r="576" spans="1:9">
      <c r="A576" s="2"/>
      <c r="C576" s="3"/>
      <c r="D576" s="3"/>
      <c r="E576" s="3"/>
      <c r="F576" s="3"/>
      <c r="G576" s="3"/>
      <c r="H576" s="3"/>
      <c r="I576" s="3"/>
    </row>
    <row r="577" spans="1:9">
      <c r="A577" s="2"/>
      <c r="C577" s="3"/>
      <c r="D577" s="3"/>
      <c r="E577" s="3"/>
      <c r="F577" s="3"/>
      <c r="G577" s="3"/>
      <c r="H577" s="3"/>
      <c r="I577" s="3"/>
    </row>
    <row r="578" spans="1:9">
      <c r="A578" s="2"/>
      <c r="C578" s="3"/>
      <c r="D578" s="3"/>
      <c r="E578" s="3"/>
      <c r="F578" s="3"/>
      <c r="G578" s="3"/>
      <c r="H578" s="3"/>
      <c r="I578" s="3"/>
    </row>
    <row r="579" spans="1:9">
      <c r="A579" s="2"/>
      <c r="C579" s="3"/>
      <c r="D579" s="3"/>
      <c r="E579" s="3"/>
      <c r="F579" s="3"/>
      <c r="G579" s="3"/>
      <c r="H579" s="3"/>
      <c r="I579" s="3"/>
    </row>
    <row r="580" spans="1:9">
      <c r="A580" s="2"/>
      <c r="C580" s="3"/>
      <c r="D580" s="3"/>
      <c r="E580" s="3"/>
      <c r="F580" s="3"/>
      <c r="G580" s="3"/>
      <c r="H580" s="3"/>
      <c r="I580" s="3"/>
    </row>
    <row r="581" spans="1:9">
      <c r="A581" s="2"/>
      <c r="C581" s="3"/>
      <c r="D581" s="3"/>
      <c r="E581" s="3"/>
      <c r="F581" s="3"/>
      <c r="G581" s="3"/>
      <c r="H581" s="3"/>
      <c r="I581" s="3"/>
    </row>
    <row r="582" spans="1:9">
      <c r="A582" s="2"/>
      <c r="C582" s="3"/>
      <c r="D582" s="3"/>
      <c r="E582" s="3"/>
      <c r="F582" s="3"/>
      <c r="G582" s="3"/>
      <c r="H582" s="3"/>
      <c r="I582" s="3"/>
    </row>
    <row r="583" spans="1:9">
      <c r="A583" s="2"/>
      <c r="C583" s="3"/>
      <c r="D583" s="3"/>
      <c r="E583" s="3"/>
      <c r="F583" s="3"/>
      <c r="G583" s="3"/>
      <c r="H583" s="3"/>
      <c r="I583" s="3"/>
    </row>
    <row r="584" spans="1:9">
      <c r="A584" s="2"/>
      <c r="C584" s="3"/>
      <c r="D584" s="3"/>
      <c r="E584" s="3"/>
      <c r="F584" s="3"/>
      <c r="G584" s="3"/>
      <c r="H584" s="3"/>
      <c r="I584" s="3"/>
    </row>
    <row r="585" spans="1:9">
      <c r="A585" s="2"/>
      <c r="C585" s="3"/>
      <c r="D585" s="3"/>
      <c r="E585" s="3"/>
      <c r="F585" s="3"/>
      <c r="G585" s="3"/>
      <c r="H585" s="3"/>
      <c r="I585" s="3"/>
    </row>
    <row r="586" spans="1:9">
      <c r="A586" s="2"/>
      <c r="C586" s="3"/>
      <c r="D586" s="3"/>
      <c r="E586" s="3"/>
      <c r="F586" s="3"/>
      <c r="G586" s="3"/>
      <c r="H586" s="3"/>
      <c r="I586" s="3"/>
    </row>
    <row r="587" spans="1:9">
      <c r="A587" s="2"/>
      <c r="C587" s="3"/>
      <c r="D587" s="3"/>
      <c r="E587" s="3"/>
      <c r="F587" s="3"/>
      <c r="G587" s="3"/>
      <c r="H587" s="3"/>
      <c r="I587" s="3"/>
    </row>
    <row r="588" spans="1:9">
      <c r="A588" s="2"/>
      <c r="C588" s="3"/>
      <c r="D588" s="3"/>
      <c r="E588" s="3"/>
      <c r="F588" s="3"/>
      <c r="G588" s="3"/>
      <c r="H588" s="3"/>
      <c r="I588" s="3"/>
    </row>
    <row r="589" spans="1:9">
      <c r="A589" s="2"/>
      <c r="C589" s="3"/>
      <c r="D589" s="3"/>
      <c r="E589" s="3"/>
      <c r="F589" s="3"/>
      <c r="G589" s="3"/>
      <c r="H589" s="3"/>
      <c r="I589" s="3"/>
    </row>
    <row r="590" spans="1:9">
      <c r="A590" s="2"/>
      <c r="C590" s="3"/>
      <c r="D590" s="3"/>
      <c r="E590" s="3"/>
      <c r="F590" s="3"/>
      <c r="G590" s="3"/>
      <c r="H590" s="3"/>
      <c r="I590" s="3"/>
    </row>
    <row r="591" spans="1:9">
      <c r="A591" s="2"/>
      <c r="C591" s="3"/>
      <c r="D591" s="3"/>
      <c r="E591" s="3"/>
      <c r="F591" s="3"/>
      <c r="G591" s="3"/>
      <c r="H591" s="3"/>
      <c r="I591" s="3"/>
    </row>
    <row r="592" spans="1:9">
      <c r="A592" s="2"/>
      <c r="C592" s="3"/>
      <c r="D592" s="3"/>
      <c r="E592" s="3"/>
      <c r="F592" s="3"/>
      <c r="G592" s="3"/>
      <c r="H592" s="3"/>
      <c r="I592" s="3"/>
    </row>
    <row r="593" spans="1:9">
      <c r="A593" s="2"/>
      <c r="C593" s="3"/>
      <c r="D593" s="3"/>
      <c r="E593" s="3"/>
      <c r="F593" s="3"/>
      <c r="G593" s="3"/>
      <c r="H593" s="3"/>
      <c r="I593" s="3"/>
    </row>
    <row r="594" spans="1:9">
      <c r="A594" s="2"/>
      <c r="C594" s="3"/>
      <c r="D594" s="3"/>
      <c r="E594" s="3"/>
      <c r="F594" s="3"/>
      <c r="G594" s="3"/>
      <c r="H594" s="3"/>
      <c r="I594" s="3"/>
    </row>
    <row r="595" spans="1:9">
      <c r="A595" s="2"/>
      <c r="C595" s="3"/>
      <c r="D595" s="3"/>
      <c r="E595" s="3"/>
      <c r="F595" s="3"/>
      <c r="G595" s="3"/>
      <c r="H595" s="3"/>
      <c r="I595" s="3"/>
    </row>
    <row r="596" spans="1:9">
      <c r="A596" s="2"/>
      <c r="C596" s="3"/>
      <c r="D596" s="3"/>
      <c r="E596" s="3"/>
      <c r="F596" s="3"/>
      <c r="G596" s="3"/>
      <c r="H596" s="3"/>
      <c r="I596" s="3"/>
    </row>
    <row r="597" spans="1:9">
      <c r="A597" s="2"/>
      <c r="C597" s="3"/>
      <c r="D597" s="3"/>
      <c r="E597" s="3"/>
      <c r="F597" s="3"/>
      <c r="G597" s="3"/>
      <c r="H597" s="3"/>
      <c r="I597" s="3"/>
    </row>
    <row r="598" spans="1:9">
      <c r="A598" s="2"/>
      <c r="C598" s="3"/>
      <c r="D598" s="3"/>
      <c r="E598" s="3"/>
      <c r="F598" s="3"/>
      <c r="G598" s="3"/>
      <c r="H598" s="3"/>
      <c r="I598" s="3"/>
    </row>
    <row r="599" spans="1:9">
      <c r="A599" s="2"/>
      <c r="C599" s="3"/>
      <c r="D599" s="3"/>
      <c r="E599" s="3"/>
      <c r="F599" s="3"/>
      <c r="G599" s="3"/>
      <c r="H599" s="3"/>
      <c r="I599" s="3"/>
    </row>
    <row r="600" spans="1:9">
      <c r="A600" s="2"/>
      <c r="C600" s="3"/>
      <c r="D600" s="3"/>
      <c r="E600" s="3"/>
      <c r="F600" s="3"/>
      <c r="G600" s="3"/>
      <c r="H600" s="3"/>
      <c r="I600" s="3"/>
    </row>
    <row r="601" spans="1:9">
      <c r="A601" s="2"/>
      <c r="C601" s="3"/>
      <c r="D601" s="3"/>
      <c r="E601" s="3"/>
      <c r="F601" s="3"/>
      <c r="G601" s="3"/>
      <c r="H601" s="3"/>
      <c r="I601" s="3"/>
    </row>
    <row r="602" spans="1:9">
      <c r="A602" s="2"/>
      <c r="C602" s="3"/>
      <c r="D602" s="3"/>
      <c r="E602" s="3"/>
      <c r="F602" s="3"/>
      <c r="G602" s="3"/>
      <c r="H602" s="3"/>
      <c r="I602" s="3"/>
    </row>
    <row r="603" spans="1:9">
      <c r="A603" s="2"/>
      <c r="C603" s="3"/>
      <c r="D603" s="3"/>
      <c r="E603" s="3"/>
      <c r="F603" s="3"/>
      <c r="G603" s="3"/>
      <c r="H603" s="3"/>
      <c r="I603" s="3"/>
    </row>
    <row r="604" spans="1:9">
      <c r="A604" s="2"/>
      <c r="C604" s="3"/>
      <c r="D604" s="3"/>
      <c r="E604" s="3"/>
      <c r="F604" s="3"/>
      <c r="G604" s="3"/>
      <c r="H604" s="3"/>
      <c r="I604" s="3"/>
    </row>
    <row r="605" spans="1:9">
      <c r="A605" s="2"/>
      <c r="C605" s="3"/>
      <c r="D605" s="3"/>
      <c r="E605" s="3"/>
      <c r="F605" s="3"/>
      <c r="G605" s="3"/>
      <c r="H605" s="3"/>
      <c r="I605" s="3"/>
    </row>
    <row r="606" spans="1:9">
      <c r="A606" s="2"/>
      <c r="C606" s="3"/>
      <c r="D606" s="3"/>
      <c r="E606" s="3"/>
      <c r="F606" s="3"/>
      <c r="G606" s="3"/>
      <c r="H606" s="3"/>
      <c r="I606" s="3"/>
    </row>
    <row r="607" spans="1:9">
      <c r="A607" s="2"/>
      <c r="C607" s="3"/>
      <c r="D607" s="3"/>
      <c r="E607" s="3"/>
      <c r="F607" s="3"/>
      <c r="G607" s="3"/>
      <c r="H607" s="3"/>
      <c r="I607" s="3"/>
    </row>
    <row r="608" spans="1:9">
      <c r="A608" s="2"/>
      <c r="C608" s="3"/>
      <c r="D608" s="3"/>
      <c r="E608" s="3"/>
      <c r="F608" s="3"/>
      <c r="G608" s="3"/>
      <c r="H608" s="3"/>
      <c r="I608" s="3"/>
    </row>
    <row r="609" spans="1:9">
      <c r="A609" s="2"/>
      <c r="C609" s="3"/>
      <c r="D609" s="3"/>
      <c r="E609" s="3"/>
      <c r="F609" s="3"/>
      <c r="G609" s="3"/>
      <c r="H609" s="3"/>
      <c r="I609" s="3"/>
    </row>
    <row r="610" spans="1:9">
      <c r="A610" s="2"/>
      <c r="C610" s="3"/>
      <c r="D610" s="3"/>
      <c r="E610" s="3"/>
      <c r="F610" s="3"/>
      <c r="G610" s="3"/>
      <c r="H610" s="3"/>
      <c r="I610" s="3"/>
    </row>
    <row r="611" spans="1:9">
      <c r="A611" s="2"/>
      <c r="C611" s="3"/>
      <c r="D611" s="3"/>
      <c r="E611" s="3"/>
      <c r="F611" s="3"/>
      <c r="G611" s="3"/>
      <c r="H611" s="3"/>
      <c r="I611" s="3"/>
    </row>
    <row r="612" spans="1:9">
      <c r="A612" s="2"/>
      <c r="C612" s="3"/>
      <c r="D612" s="3"/>
      <c r="E612" s="3"/>
      <c r="F612" s="3"/>
      <c r="G612" s="3"/>
      <c r="H612" s="3"/>
      <c r="I612" s="3"/>
    </row>
    <row r="613" spans="1:9">
      <c r="A613" s="2"/>
      <c r="C613" s="3"/>
      <c r="D613" s="3"/>
      <c r="E613" s="3"/>
      <c r="F613" s="3"/>
      <c r="G613" s="3"/>
      <c r="H613" s="3"/>
      <c r="I613" s="3"/>
    </row>
    <row r="614" spans="1:9">
      <c r="A614" s="2"/>
      <c r="C614" s="3"/>
      <c r="D614" s="3"/>
      <c r="E614" s="3"/>
      <c r="F614" s="3"/>
      <c r="G614" s="3"/>
      <c r="H614" s="3"/>
      <c r="I614" s="3"/>
    </row>
    <row r="615" spans="1:9">
      <c r="A615" s="2"/>
      <c r="C615" s="3"/>
      <c r="D615" s="3"/>
      <c r="E615" s="3"/>
      <c r="F615" s="3"/>
      <c r="G615" s="3"/>
      <c r="H615" s="3"/>
      <c r="I615" s="3"/>
    </row>
    <row r="616" spans="1:9">
      <c r="A616" s="2"/>
      <c r="C616" s="3"/>
      <c r="D616" s="3"/>
      <c r="E616" s="3"/>
      <c r="F616" s="3"/>
      <c r="G616" s="3"/>
      <c r="H616" s="3"/>
      <c r="I616" s="3"/>
    </row>
    <row r="617" spans="1:9">
      <c r="A617" s="2"/>
      <c r="C617" s="3"/>
      <c r="D617" s="3"/>
      <c r="E617" s="3"/>
      <c r="F617" s="3"/>
      <c r="G617" s="3"/>
      <c r="H617" s="3"/>
      <c r="I617" s="3"/>
    </row>
    <row r="618" spans="1:9">
      <c r="A618" s="2"/>
      <c r="C618" s="3"/>
      <c r="D618" s="3"/>
      <c r="E618" s="3"/>
      <c r="F618" s="3"/>
      <c r="G618" s="3"/>
      <c r="H618" s="3"/>
      <c r="I618" s="3"/>
    </row>
    <row r="619" spans="1:9">
      <c r="A619" s="2"/>
      <c r="C619" s="3"/>
      <c r="D619" s="3"/>
      <c r="E619" s="3"/>
      <c r="F619" s="3"/>
      <c r="G619" s="3"/>
      <c r="H619" s="3"/>
      <c r="I619" s="3"/>
    </row>
    <row r="620" spans="1:9">
      <c r="A620" s="2"/>
      <c r="C620" s="3"/>
      <c r="D620" s="3"/>
      <c r="E620" s="3"/>
      <c r="F620" s="3"/>
      <c r="G620" s="3"/>
      <c r="H620" s="3"/>
      <c r="I620" s="3"/>
    </row>
    <row r="621" spans="1:9">
      <c r="A621" s="2"/>
      <c r="C621" s="3"/>
      <c r="D621" s="3"/>
      <c r="E621" s="3"/>
      <c r="F621" s="3"/>
      <c r="G621" s="3"/>
      <c r="H621" s="3"/>
      <c r="I621" s="3"/>
    </row>
    <row r="622" spans="1:9">
      <c r="A622" s="2"/>
      <c r="C622" s="3"/>
      <c r="D622" s="3"/>
      <c r="E622" s="3"/>
      <c r="F622" s="3"/>
      <c r="G622" s="3"/>
      <c r="H622" s="3"/>
      <c r="I622" s="3"/>
    </row>
    <row r="623" spans="1:9">
      <c r="A623" s="2"/>
      <c r="C623" s="3"/>
      <c r="D623" s="3"/>
      <c r="E623" s="3"/>
      <c r="F623" s="3"/>
      <c r="G623" s="3"/>
      <c r="H623" s="3"/>
      <c r="I623" s="3"/>
    </row>
    <row r="624" spans="1:9">
      <c r="A624" s="2"/>
      <c r="C624" s="3"/>
      <c r="D624" s="3"/>
      <c r="E624" s="3"/>
      <c r="F624" s="3"/>
      <c r="G624" s="3"/>
      <c r="H624" s="3"/>
      <c r="I624" s="3"/>
    </row>
    <row r="625" spans="1:9">
      <c r="A625" s="2"/>
      <c r="C625" s="3"/>
      <c r="D625" s="3"/>
      <c r="E625" s="3"/>
      <c r="F625" s="3"/>
      <c r="G625" s="3"/>
      <c r="H625" s="3"/>
      <c r="I625" s="3"/>
    </row>
    <row r="626" spans="1:9">
      <c r="A626" s="2"/>
      <c r="C626" s="3"/>
      <c r="D626" s="3"/>
      <c r="E626" s="3"/>
      <c r="F626" s="3"/>
      <c r="G626" s="3"/>
      <c r="H626" s="3"/>
      <c r="I626" s="3"/>
    </row>
    <row r="627" spans="1:9">
      <c r="A627" s="2"/>
      <c r="C627" s="3"/>
      <c r="D627" s="3"/>
      <c r="E627" s="3"/>
      <c r="F627" s="3"/>
      <c r="G627" s="3"/>
      <c r="H627" s="3"/>
      <c r="I627" s="3"/>
    </row>
    <row r="628" spans="1:9">
      <c r="A628" s="2"/>
      <c r="C628" s="3"/>
      <c r="D628" s="3"/>
      <c r="E628" s="3"/>
      <c r="F628" s="3"/>
      <c r="G628" s="3"/>
      <c r="H628" s="3"/>
      <c r="I628" s="3"/>
    </row>
    <row r="629" spans="1:9">
      <c r="A629" s="2"/>
      <c r="C629" s="3"/>
      <c r="D629" s="3"/>
      <c r="E629" s="3"/>
      <c r="F629" s="3"/>
      <c r="G629" s="3"/>
      <c r="H629" s="3"/>
      <c r="I629" s="3"/>
    </row>
    <row r="630" spans="1:9">
      <c r="A630" s="2"/>
      <c r="C630" s="3"/>
      <c r="D630" s="3"/>
      <c r="E630" s="3"/>
      <c r="F630" s="3"/>
      <c r="G630" s="3"/>
      <c r="H630" s="3"/>
      <c r="I630" s="3"/>
    </row>
    <row r="631" spans="1:9">
      <c r="A631" s="2"/>
      <c r="C631" s="3"/>
      <c r="D631" s="3"/>
      <c r="E631" s="3"/>
      <c r="F631" s="3"/>
      <c r="G631" s="3"/>
      <c r="H631" s="3"/>
      <c r="I631" s="3"/>
    </row>
    <row r="632" spans="1:9">
      <c r="A632" s="2"/>
      <c r="C632" s="3"/>
      <c r="D632" s="3"/>
      <c r="E632" s="3"/>
      <c r="F632" s="3"/>
      <c r="G632" s="3"/>
      <c r="H632" s="3"/>
      <c r="I632" s="3"/>
    </row>
    <row r="633" spans="1:9">
      <c r="A633" s="2"/>
      <c r="C633" s="3"/>
      <c r="D633" s="3"/>
      <c r="E633" s="3"/>
      <c r="F633" s="3"/>
      <c r="G633" s="3"/>
      <c r="H633" s="3"/>
      <c r="I633" s="3"/>
    </row>
    <row r="634" spans="1:9">
      <c r="A634" s="2"/>
      <c r="C634" s="3"/>
      <c r="D634" s="3"/>
      <c r="E634" s="3"/>
      <c r="F634" s="3"/>
      <c r="G634" s="3"/>
      <c r="H634" s="3"/>
      <c r="I634" s="3"/>
    </row>
    <row r="635" spans="1:9">
      <c r="A635" s="2"/>
      <c r="C635" s="3"/>
      <c r="D635" s="3"/>
      <c r="E635" s="3"/>
      <c r="F635" s="3"/>
      <c r="G635" s="3"/>
      <c r="H635" s="3"/>
      <c r="I635" s="3"/>
    </row>
    <row r="636" spans="1:9">
      <c r="A636" s="2"/>
      <c r="C636" s="3"/>
      <c r="D636" s="3"/>
      <c r="E636" s="3"/>
      <c r="F636" s="3"/>
      <c r="G636" s="3"/>
      <c r="H636" s="3"/>
      <c r="I636" s="3"/>
    </row>
    <row r="637" spans="1:9">
      <c r="A637" s="2"/>
      <c r="C637" s="3"/>
      <c r="D637" s="3"/>
      <c r="E637" s="3"/>
      <c r="F637" s="3"/>
      <c r="G637" s="3"/>
      <c r="H637" s="3"/>
      <c r="I637" s="3"/>
    </row>
    <row r="638" spans="1:9">
      <c r="A638" s="2"/>
      <c r="C638" s="3"/>
      <c r="D638" s="3"/>
      <c r="E638" s="3"/>
      <c r="F638" s="3"/>
      <c r="G638" s="3"/>
      <c r="H638" s="3"/>
      <c r="I638" s="3"/>
    </row>
    <row r="639" spans="1:9">
      <c r="A639" s="2"/>
      <c r="C639" s="3"/>
      <c r="D639" s="3"/>
      <c r="E639" s="3"/>
      <c r="F639" s="3"/>
      <c r="G639" s="3"/>
      <c r="H639" s="3"/>
      <c r="I639" s="3"/>
    </row>
    <row r="640" spans="1:9">
      <c r="A640" s="2"/>
      <c r="C640" s="3"/>
      <c r="D640" s="3"/>
      <c r="E640" s="3"/>
      <c r="F640" s="3"/>
      <c r="G640" s="3"/>
      <c r="H640" s="3"/>
      <c r="I640" s="3"/>
    </row>
    <row r="641" spans="1:9">
      <c r="A641" s="2"/>
      <c r="C641" s="3"/>
      <c r="D641" s="3"/>
      <c r="E641" s="3"/>
      <c r="F641" s="3"/>
      <c r="G641" s="3"/>
      <c r="H641" s="3"/>
      <c r="I641" s="3"/>
    </row>
    <row r="642" spans="1:9">
      <c r="A642" s="2"/>
      <c r="C642" s="3"/>
      <c r="D642" s="3"/>
      <c r="E642" s="3"/>
      <c r="F642" s="3"/>
      <c r="G642" s="3"/>
      <c r="H642" s="3"/>
      <c r="I642" s="3"/>
    </row>
    <row r="643" spans="1:9">
      <c r="A643" s="2"/>
      <c r="C643" s="3"/>
      <c r="D643" s="3"/>
      <c r="E643" s="3"/>
      <c r="F643" s="3"/>
      <c r="G643" s="3"/>
      <c r="H643" s="3"/>
      <c r="I643" s="3"/>
    </row>
    <row r="644" spans="1:9">
      <c r="A644" s="2"/>
      <c r="C644" s="3"/>
      <c r="D644" s="3"/>
      <c r="E644" s="3"/>
      <c r="F644" s="3"/>
      <c r="G644" s="3"/>
      <c r="H644" s="3"/>
      <c r="I644" s="3"/>
    </row>
    <row r="645" spans="1:9">
      <c r="A645" s="2"/>
      <c r="C645" s="3"/>
      <c r="D645" s="3"/>
      <c r="E645" s="3"/>
      <c r="F645" s="3"/>
      <c r="G645" s="3"/>
      <c r="H645" s="3"/>
      <c r="I645" s="3"/>
    </row>
    <row r="646" spans="1:9">
      <c r="A646" s="2"/>
      <c r="C646" s="3"/>
      <c r="D646" s="3"/>
      <c r="E646" s="3"/>
      <c r="F646" s="3"/>
      <c r="G646" s="3"/>
      <c r="H646" s="3"/>
      <c r="I646" s="3"/>
    </row>
    <row r="647" spans="1:9">
      <c r="A647" s="2"/>
      <c r="C647" s="3"/>
      <c r="D647" s="3"/>
      <c r="E647" s="3"/>
      <c r="F647" s="3"/>
      <c r="G647" s="3"/>
      <c r="H647" s="3"/>
      <c r="I647" s="3"/>
    </row>
    <row r="648" spans="1:9">
      <c r="A648" s="2"/>
      <c r="C648" s="3"/>
      <c r="D648" s="3"/>
      <c r="E648" s="3"/>
      <c r="F648" s="3"/>
      <c r="G648" s="3"/>
      <c r="H648" s="3"/>
      <c r="I648" s="3"/>
    </row>
    <row r="649" spans="1:9">
      <c r="A649" s="2"/>
      <c r="C649" s="3"/>
      <c r="D649" s="3"/>
      <c r="E649" s="3"/>
      <c r="F649" s="3"/>
      <c r="G649" s="3"/>
      <c r="H649" s="3"/>
      <c r="I649" s="3"/>
    </row>
    <row r="650" spans="1:9">
      <c r="A650" s="2"/>
      <c r="C650" s="3"/>
      <c r="D650" s="3"/>
      <c r="E650" s="3"/>
      <c r="F650" s="3"/>
      <c r="G650" s="3"/>
      <c r="H650" s="3"/>
      <c r="I650" s="3"/>
    </row>
    <row r="651" spans="1:9">
      <c r="A651" s="2"/>
      <c r="C651" s="3"/>
      <c r="D651" s="3"/>
      <c r="E651" s="3"/>
      <c r="F651" s="3"/>
      <c r="G651" s="3"/>
      <c r="H651" s="3"/>
      <c r="I651" s="3"/>
    </row>
    <row r="652" spans="1:9">
      <c r="A652" s="2"/>
      <c r="C652" s="3"/>
      <c r="D652" s="3"/>
      <c r="E652" s="3"/>
      <c r="F652" s="3"/>
      <c r="G652" s="3"/>
      <c r="H652" s="3"/>
      <c r="I652" s="3"/>
    </row>
    <row r="653" spans="1:9">
      <c r="A653" s="2"/>
      <c r="C653" s="3"/>
      <c r="D653" s="3"/>
      <c r="E653" s="3"/>
      <c r="F653" s="3"/>
      <c r="G653" s="3"/>
      <c r="H653" s="3"/>
      <c r="I653" s="3"/>
    </row>
    <row r="654" spans="1:9">
      <c r="A654" s="2"/>
      <c r="C654" s="3"/>
      <c r="D654" s="3"/>
      <c r="E654" s="3"/>
      <c r="F654" s="3"/>
      <c r="G654" s="3"/>
      <c r="H654" s="3"/>
      <c r="I654" s="3"/>
    </row>
    <row r="655" spans="1:9">
      <c r="A655" s="2"/>
      <c r="C655" s="3"/>
      <c r="D655" s="3"/>
      <c r="E655" s="3"/>
      <c r="F655" s="3"/>
      <c r="G655" s="3"/>
      <c r="H655" s="3"/>
      <c r="I655" s="3"/>
    </row>
    <row r="656" spans="1:9">
      <c r="A656" s="2"/>
      <c r="C656" s="3"/>
      <c r="D656" s="3"/>
      <c r="E656" s="3"/>
      <c r="F656" s="3"/>
      <c r="G656" s="3"/>
      <c r="H656" s="3"/>
      <c r="I656" s="3"/>
    </row>
    <row r="657" spans="1:9">
      <c r="A657" s="2"/>
      <c r="C657" s="3"/>
      <c r="D657" s="3"/>
      <c r="E657" s="3"/>
      <c r="F657" s="3"/>
      <c r="G657" s="3"/>
      <c r="H657" s="3"/>
      <c r="I657" s="3"/>
    </row>
    <row r="658" spans="1:9">
      <c r="A658" s="2"/>
      <c r="C658" s="3"/>
      <c r="D658" s="3"/>
      <c r="E658" s="3"/>
      <c r="F658" s="3"/>
      <c r="G658" s="3"/>
      <c r="H658" s="3"/>
      <c r="I658" s="3"/>
    </row>
    <row r="659" spans="1:9">
      <c r="A659" s="2"/>
      <c r="C659" s="3"/>
      <c r="D659" s="3"/>
      <c r="E659" s="3"/>
      <c r="F659" s="3"/>
      <c r="G659" s="3"/>
      <c r="H659" s="3"/>
      <c r="I659" s="3"/>
    </row>
    <row r="660" spans="1:9">
      <c r="A660" s="2"/>
      <c r="C660" s="3"/>
      <c r="D660" s="3"/>
      <c r="E660" s="3"/>
      <c r="F660" s="3"/>
      <c r="G660" s="3"/>
      <c r="H660" s="3"/>
      <c r="I660" s="3"/>
    </row>
    <row r="661" spans="1:9">
      <c r="A661" s="2"/>
      <c r="C661" s="3"/>
      <c r="D661" s="3"/>
      <c r="E661" s="3"/>
      <c r="F661" s="3"/>
      <c r="G661" s="3"/>
      <c r="H661" s="3"/>
      <c r="I661" s="3"/>
    </row>
    <row r="662" spans="1:9">
      <c r="A662" s="2"/>
      <c r="C662" s="3"/>
      <c r="D662" s="3"/>
      <c r="E662" s="3"/>
      <c r="F662" s="3"/>
      <c r="G662" s="3"/>
      <c r="H662" s="3"/>
      <c r="I662" s="3"/>
    </row>
    <row r="663" spans="1:9">
      <c r="A663" s="2"/>
      <c r="C663" s="3"/>
      <c r="D663" s="3"/>
      <c r="E663" s="3"/>
      <c r="F663" s="3"/>
      <c r="G663" s="3"/>
      <c r="H663" s="3"/>
      <c r="I663" s="3"/>
    </row>
    <row r="664" spans="1:9">
      <c r="A664" s="2"/>
      <c r="C664" s="3"/>
      <c r="D664" s="3"/>
      <c r="E664" s="3"/>
      <c r="F664" s="3"/>
      <c r="G664" s="3"/>
      <c r="H664" s="3"/>
      <c r="I664" s="3"/>
    </row>
    <row r="665" spans="1:9">
      <c r="A665" s="2"/>
      <c r="C665" s="3"/>
      <c r="D665" s="3"/>
      <c r="E665" s="3"/>
      <c r="F665" s="3"/>
      <c r="G665" s="3"/>
      <c r="H665" s="3"/>
      <c r="I665" s="3"/>
    </row>
    <row r="666" spans="1:9">
      <c r="A666" s="2"/>
      <c r="C666" s="3"/>
      <c r="D666" s="3"/>
      <c r="E666" s="3"/>
      <c r="F666" s="3"/>
      <c r="G666" s="3"/>
      <c r="H666" s="3"/>
      <c r="I666" s="3"/>
    </row>
    <row r="667" spans="1:9">
      <c r="A667" s="2"/>
      <c r="C667" s="3"/>
      <c r="D667" s="3"/>
      <c r="E667" s="3"/>
      <c r="F667" s="3"/>
      <c r="G667" s="3"/>
      <c r="H667" s="3"/>
      <c r="I667" s="3"/>
    </row>
    <row r="668" spans="1:9">
      <c r="A668" s="2"/>
      <c r="C668" s="3"/>
      <c r="D668" s="3"/>
      <c r="E668" s="3"/>
      <c r="F668" s="3"/>
      <c r="G668" s="3"/>
      <c r="H668" s="3"/>
      <c r="I668" s="3"/>
    </row>
    <row r="669" spans="1:9">
      <c r="A669" s="2"/>
      <c r="C669" s="3"/>
      <c r="D669" s="3"/>
      <c r="E669" s="3"/>
      <c r="F669" s="3"/>
      <c r="G669" s="3"/>
      <c r="H669" s="3"/>
      <c r="I669" s="3"/>
    </row>
    <row r="670" spans="1:9">
      <c r="A670" s="2"/>
      <c r="C670" s="3"/>
      <c r="D670" s="3"/>
      <c r="E670" s="3"/>
      <c r="F670" s="3"/>
      <c r="G670" s="3"/>
      <c r="H670" s="3"/>
      <c r="I670" s="3"/>
    </row>
    <row r="671" spans="1:9">
      <c r="A671" s="2"/>
      <c r="C671" s="3"/>
      <c r="D671" s="3"/>
      <c r="E671" s="3"/>
      <c r="F671" s="3"/>
      <c r="G671" s="3"/>
      <c r="H671" s="3"/>
      <c r="I671" s="3"/>
    </row>
    <row r="672" spans="1:9">
      <c r="A672" s="2"/>
      <c r="C672" s="3"/>
      <c r="D672" s="3"/>
      <c r="E672" s="3"/>
      <c r="F672" s="3"/>
      <c r="G672" s="3"/>
      <c r="H672" s="3"/>
      <c r="I672" s="3"/>
    </row>
    <row r="673" spans="1:19">
      <c r="A673" s="2"/>
      <c r="C673" s="3"/>
      <c r="D673" s="3"/>
      <c r="E673" s="3"/>
      <c r="F673" s="3"/>
      <c r="G673" s="3"/>
      <c r="H673" s="3"/>
      <c r="I673" s="3"/>
    </row>
    <row r="674" spans="1:19">
      <c r="A674" s="2"/>
      <c r="C674" s="3"/>
      <c r="D674" s="3"/>
      <c r="E674" s="3"/>
      <c r="F674" s="3"/>
      <c r="G674" s="3"/>
      <c r="H674" s="3"/>
      <c r="I674" s="3"/>
    </row>
    <row r="675" spans="1:19">
      <c r="A675" s="2"/>
      <c r="C675" s="3"/>
      <c r="D675" s="3"/>
      <c r="E675" s="3"/>
      <c r="F675" s="3"/>
      <c r="G675" s="3"/>
      <c r="H675" s="3"/>
      <c r="I675" s="3"/>
    </row>
    <row r="676" spans="1:19">
      <c r="A676" s="2"/>
      <c r="C676" s="3"/>
      <c r="D676" s="3"/>
      <c r="E676" s="3"/>
      <c r="F676" s="3"/>
      <c r="G676" s="3"/>
      <c r="H676" s="3"/>
      <c r="I676" s="3"/>
    </row>
    <row r="677" spans="1:19">
      <c r="A677" s="2"/>
      <c r="C677" s="3"/>
      <c r="D677" s="3"/>
      <c r="E677" s="3"/>
      <c r="F677" s="3"/>
      <c r="G677" s="3"/>
      <c r="H677" s="3"/>
      <c r="I677" s="3"/>
    </row>
    <row r="678" spans="1:19">
      <c r="A678" s="2"/>
      <c r="C678" s="3"/>
      <c r="D678" s="3"/>
      <c r="E678" s="3"/>
      <c r="F678" s="3"/>
      <c r="G678" s="3"/>
      <c r="H678" s="3"/>
      <c r="I678" s="3"/>
    </row>
    <row r="679" spans="1:19">
      <c r="A679" s="2"/>
      <c r="C679" s="3"/>
      <c r="D679" s="3"/>
      <c r="E679" s="3"/>
      <c r="F679" s="3"/>
      <c r="G679" s="3"/>
      <c r="H679" s="3"/>
      <c r="I679" s="3"/>
    </row>
    <row r="680" spans="1:19">
      <c r="A680" s="2"/>
      <c r="C680" s="3"/>
      <c r="D680" s="3"/>
      <c r="E680" s="3"/>
      <c r="F680" s="3"/>
      <c r="G680" s="3"/>
      <c r="H680" s="3"/>
      <c r="I680" s="3"/>
    </row>
    <row r="681" spans="1:19">
      <c r="A681" s="2"/>
      <c r="C681" s="3"/>
      <c r="D681" s="3"/>
      <c r="E681" s="3"/>
      <c r="F681" s="3"/>
      <c r="G681" s="3"/>
      <c r="H681" s="3"/>
      <c r="I681" s="3"/>
    </row>
    <row r="682" spans="1:19">
      <c r="A682" s="2"/>
      <c r="C682" s="3"/>
      <c r="D682" s="3"/>
      <c r="E682" s="3"/>
      <c r="F682" s="3"/>
      <c r="G682" s="3"/>
      <c r="H682" s="3"/>
      <c r="I682" s="3"/>
    </row>
    <row r="683" spans="1:19">
      <c r="A683" s="2"/>
      <c r="C683" s="3"/>
      <c r="D683" s="3"/>
      <c r="E683" s="3"/>
      <c r="F683" s="3"/>
      <c r="G683" s="3"/>
      <c r="H683" s="3"/>
      <c r="I683" s="3"/>
    </row>
    <row r="684" spans="1:19">
      <c r="A684" s="2"/>
      <c r="C684" s="3"/>
      <c r="D684" s="3"/>
      <c r="E684" s="3"/>
      <c r="F684" s="3"/>
      <c r="G684" s="3"/>
      <c r="H684" s="3"/>
      <c r="I684" s="3"/>
      <c r="S684" s="65">
        <v>41827</v>
      </c>
    </row>
    <row r="738" spans="19:19">
      <c r="S738" s="2">
        <v>9</v>
      </c>
    </row>
  </sheetData>
  <mergeCells count="54">
    <mergeCell ref="B27:I27"/>
    <mergeCell ref="B61:D61"/>
    <mergeCell ref="B69:D69"/>
    <mergeCell ref="B45:I45"/>
    <mergeCell ref="B57:D57"/>
    <mergeCell ref="B53:I53"/>
    <mergeCell ref="B47:I47"/>
    <mergeCell ref="B59:D59"/>
    <mergeCell ref="B51:J51"/>
    <mergeCell ref="B49:I49"/>
    <mergeCell ref="B2:I2"/>
    <mergeCell ref="B4:I4"/>
    <mergeCell ref="B6:I6"/>
    <mergeCell ref="B43:F43"/>
    <mergeCell ref="B9:I9"/>
    <mergeCell ref="B20:I20"/>
    <mergeCell ref="B21:I21"/>
    <mergeCell ref="B23:I23"/>
    <mergeCell ref="B24:I24"/>
    <mergeCell ref="B29:I29"/>
    <mergeCell ref="B31:I31"/>
    <mergeCell ref="B33:I33"/>
    <mergeCell ref="B35:I35"/>
    <mergeCell ref="B37:I37"/>
    <mergeCell ref="B39:I39"/>
    <mergeCell ref="B25:I25"/>
    <mergeCell ref="B114:D114"/>
    <mergeCell ref="B77:D77"/>
    <mergeCell ref="B104:D104"/>
    <mergeCell ref="B106:D106"/>
    <mergeCell ref="B102:D102"/>
    <mergeCell ref="B91:D91"/>
    <mergeCell ref="B83:I83"/>
    <mergeCell ref="B100:D100"/>
    <mergeCell ref="B96:D96"/>
    <mergeCell ref="B98:D98"/>
    <mergeCell ref="B92:D92"/>
    <mergeCell ref="B94:D94"/>
    <mergeCell ref="B75:D75"/>
    <mergeCell ref="B71:D71"/>
    <mergeCell ref="B73:D73"/>
    <mergeCell ref="B63:D63"/>
    <mergeCell ref="C154:D154"/>
    <mergeCell ref="B122:I122"/>
    <mergeCell ref="E154:F154"/>
    <mergeCell ref="G154:H154"/>
    <mergeCell ref="B121:I121"/>
    <mergeCell ref="I154:J154"/>
    <mergeCell ref="B152:I152"/>
    <mergeCell ref="B123:I123"/>
    <mergeCell ref="B112:D112"/>
    <mergeCell ref="B108:D108"/>
    <mergeCell ref="B110:D110"/>
    <mergeCell ref="B117:I117"/>
  </mergeCells>
  <phoneticPr fontId="0" type="noConversion"/>
  <pageMargins left="0.15748031496062992" right="0.15748031496062992" top="0.23622047244094491" bottom="0.31496062992125984" header="0.19685039370078741" footer="0.55118110236220474"/>
  <pageSetup paperSize="9" scale="82" orientation="portrait" r:id="rId1"/>
  <headerFooter alignWithMargins="0">
    <oddFooter>&amp;R&amp;P</oddFooter>
  </headerFooter>
  <rowBreaks count="3" manualBreakCount="3">
    <brk id="40" max="9" man="1"/>
    <brk id="83" max="9" man="1"/>
    <brk id="150"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Press Release</vt:lpstr>
      <vt:lpstr>Sheet1</vt:lpstr>
      <vt:lpstr>'Press Release'!Print_Area</vt:lpstr>
    </vt:vector>
  </TitlesOfParts>
  <Company>SFF Association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FloatingLaptop1</dc:creator>
  <cp:lastModifiedBy>Thabisho Kgaditsi</cp:lastModifiedBy>
  <cp:lastPrinted>2017-06-30T08:15:32Z</cp:lastPrinted>
  <dcterms:created xsi:type="dcterms:W3CDTF">2001-04-24T17:00:57Z</dcterms:created>
  <dcterms:modified xsi:type="dcterms:W3CDTF">2017-07-01T16:01:04Z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